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0"/>
  </bookViews>
  <sheets>
    <sheet name="kalkulace" sheetId="1" r:id="rId1"/>
    <sheet name="žádost" sheetId="2" r:id="rId2"/>
  </sheets>
  <definedNames>
    <definedName name="_xlnm.Print_Area" localSheetId="0">'kalkulace'!$B$1:$I$53</definedName>
    <definedName name="_xlnm.Print_Area" localSheetId="1">'žádost'!$A$1:$AJ$54</definedName>
  </definedNames>
  <calcPr fullCalcOnLoad="1"/>
</workbook>
</file>

<file path=xl/sharedStrings.xml><?xml version="1.0" encoding="utf-8"?>
<sst xmlns="http://schemas.openxmlformats.org/spreadsheetml/2006/main" count="125" uniqueCount="83">
  <si>
    <t>v %</t>
  </si>
  <si>
    <t xml:space="preserve">   Cena s DPH </t>
  </si>
  <si>
    <t>výsledek</t>
  </si>
  <si>
    <t xml:space="preserve">   DPH 19%</t>
  </si>
  <si>
    <t>48 měsíčních splátek</t>
  </si>
  <si>
    <t>36 měsíčních splátek</t>
  </si>
  <si>
    <t>12 měsíčních splátek</t>
  </si>
  <si>
    <t>24 měsíčních splátek</t>
  </si>
  <si>
    <t>50.000-249.999</t>
  </si>
  <si>
    <t xml:space="preserve">250.000 - 499.999 </t>
  </si>
  <si>
    <t>500.000 - 999.999</t>
  </si>
  <si>
    <t>více než 1.000.000</t>
  </si>
  <si>
    <t>výsledný úrok</t>
  </si>
  <si>
    <t xml:space="preserve">  Orientační kalkulace leasingu</t>
  </si>
  <si>
    <r>
      <t xml:space="preserve">   Mimořádná leas. splátka  </t>
    </r>
    <r>
      <rPr>
        <sz val="8"/>
        <rFont val="Arial Baltic"/>
        <family val="2"/>
      </rPr>
      <t>(placeno předem)</t>
    </r>
  </si>
  <si>
    <t xml:space="preserve">DPH </t>
  </si>
  <si>
    <t>předem bez DPH</t>
  </si>
  <si>
    <t>měsíčně bez DPH</t>
  </si>
  <si>
    <r>
      <t xml:space="preserve">   Leasingové splátky  </t>
    </r>
    <r>
      <rPr>
        <sz val="8"/>
        <rFont val="Arial Baltic"/>
        <family val="2"/>
      </rPr>
      <t>(placeno měsíčně)</t>
    </r>
  </si>
  <si>
    <t xml:space="preserve">celkem splátka </t>
  </si>
  <si>
    <t xml:space="preserve"> Zadej cena předmětu leasingu bez DPH</t>
  </si>
  <si>
    <t xml:space="preserve">              uvedená kalkulace jsou předběžná a nezávazná</t>
  </si>
  <si>
    <t xml:space="preserve">  Závaznou kalkulaci leasingu vč.pojištění a poplatku vypracujeme po předložení požadovaných podkladů pro schválení leasingu.</t>
  </si>
  <si>
    <t>DIČ:</t>
  </si>
  <si>
    <t>www:</t>
  </si>
  <si>
    <t>Mobil:</t>
  </si>
  <si>
    <t>IČ dodavatele</t>
  </si>
  <si>
    <t xml:space="preserve">      </t>
  </si>
  <si>
    <t>Z Á J E M C E</t>
  </si>
  <si>
    <t xml:space="preserve">Název zájemce: </t>
  </si>
  <si>
    <t xml:space="preserve">Adresa : </t>
  </si>
  <si>
    <t xml:space="preserve">IČ: </t>
  </si>
  <si>
    <t>Telefon:</t>
  </si>
  <si>
    <t xml:space="preserve">Fax: </t>
  </si>
  <si>
    <t xml:space="preserve">Kontaktní osoba: </t>
  </si>
  <si>
    <t>E-mail:</t>
  </si>
  <si>
    <t>Předmět leasingu:</t>
  </si>
  <si>
    <t>Pořizovací cena bez DPH:</t>
  </si>
  <si>
    <t>Nový</t>
  </si>
  <si>
    <t>Použitý</t>
  </si>
  <si>
    <t xml:space="preserve">Termín dodání: </t>
  </si>
  <si>
    <t>Název dodavatele:</t>
  </si>
  <si>
    <t xml:space="preserve">Kontaktní osoba za dodavatele: </t>
  </si>
  <si>
    <t>Podepsána objednávka</t>
  </si>
  <si>
    <t xml:space="preserve">Zaplacená záloha </t>
  </si>
  <si>
    <t>Doba  splácení (v měsících)</t>
  </si>
  <si>
    <t>Akontace (platba předem) v %</t>
  </si>
  <si>
    <t xml:space="preserve">Pojištění: </t>
  </si>
  <si>
    <t>Zájemce zajistí individuálně</t>
  </si>
  <si>
    <t xml:space="preserve">P Ř E D M Ě T   </t>
  </si>
  <si>
    <t>L E A S I N G</t>
  </si>
  <si>
    <t>P O D K L A D Y</t>
  </si>
  <si>
    <t>K O N T A K T</t>
  </si>
  <si>
    <t>Právnická osoba - firma</t>
  </si>
  <si>
    <t xml:space="preserve"> - objednávka nebo proformafaktura od dodavatele</t>
  </si>
  <si>
    <t xml:space="preserve"> - výpis z obchodního rejstříku</t>
  </si>
  <si>
    <t xml:space="preserve"> - osvědčení o registraci DIČ</t>
  </si>
  <si>
    <t xml:space="preserve"> - rozvaha a výkaz zisku a ztrát za poslední 2 roky</t>
  </si>
  <si>
    <t xml:space="preserve"> - rozvaha a výkaz zisku a ztrát za aktuální rok</t>
  </si>
  <si>
    <t xml:space="preserve"> - kopie daň.přiznání vč. příloh za poslední 2 roky</t>
  </si>
  <si>
    <t xml:space="preserve"> - živnostenský list</t>
  </si>
  <si>
    <t xml:space="preserve"> - účetní výkazy za aktuální rok</t>
  </si>
  <si>
    <t>Fyzická osoba - podnikatel</t>
  </si>
  <si>
    <t>1 - Praha</t>
  </si>
  <si>
    <t>2 - Rakovník</t>
  </si>
  <si>
    <t>úrok</t>
  </si>
  <si>
    <t>VIP-Essox</t>
  </si>
  <si>
    <t>standard-Essox</t>
  </si>
  <si>
    <t>provize CCI</t>
  </si>
  <si>
    <t>Typ kalkulace</t>
  </si>
  <si>
    <t>1 - Standard</t>
  </si>
  <si>
    <t>2 - VIP</t>
  </si>
  <si>
    <t>3 - TOP</t>
  </si>
  <si>
    <t>Základní  žádost  o leasing</t>
  </si>
  <si>
    <t>Zahrnout do leasingových splátek</t>
  </si>
  <si>
    <t>ESSOX</t>
  </si>
  <si>
    <t>SAL</t>
  </si>
  <si>
    <t>Pobočka CCI</t>
  </si>
  <si>
    <t>standard</t>
  </si>
  <si>
    <t>VIP</t>
  </si>
  <si>
    <t>TOP</t>
  </si>
  <si>
    <t xml:space="preserve">  EUROLEASING 1/2008</t>
  </si>
  <si>
    <t>EUROLEASING 1/2008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</si>
</sst>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,##0.000"/>
    <numFmt numFmtId="170" formatCode="#,##0.0000"/>
    <numFmt numFmtId="171" formatCode="#,##0.00000"/>
    <numFmt numFmtId="172" formatCode="0.000000"/>
    <numFmt numFmtId="173" formatCode="d/m/yy"/>
    <numFmt numFmtId="174" formatCode="0.0%"/>
    <numFmt numFmtId="175" formatCode="0.0000000"/>
    <numFmt numFmtId="176" formatCode="0.000%"/>
  </numFmts>
  <fonts count="3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22"/>
      <name val="Arial CE"/>
      <family val="2"/>
    </font>
    <font>
      <sz val="9"/>
      <color indexed="10"/>
      <name val="Arial CE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26"/>
      <name val="Century Gothic"/>
      <family val="2"/>
    </font>
    <font>
      <sz val="8"/>
      <name val="Century"/>
      <family val="1"/>
    </font>
    <font>
      <sz val="8"/>
      <name val="Arial Narrow"/>
      <family val="2"/>
    </font>
    <font>
      <sz val="8"/>
      <name val="Arial Baltic"/>
      <family val="2"/>
    </font>
    <font>
      <b/>
      <sz val="8"/>
      <name val="Arial Baltic"/>
      <family val="2"/>
    </font>
    <font>
      <sz val="9"/>
      <name val="Arial Baltic"/>
      <family val="2"/>
    </font>
    <font>
      <b/>
      <sz val="10"/>
      <name val="Arial Baltic"/>
      <family val="2"/>
    </font>
    <font>
      <sz val="7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b/>
      <sz val="9"/>
      <name val="Century"/>
      <family val="1"/>
    </font>
    <font>
      <b/>
      <sz val="20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ntique Olive Compact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color indexed="21"/>
      <name val="Antique Olive Compact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3" fontId="4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2" fillId="0" borderId="2" xfId="0" applyFont="1" applyBorder="1" applyAlignment="1">
      <alignment/>
    </xf>
    <xf numFmtId="174" fontId="2" fillId="0" borderId="2" xfId="0" applyNumberFormat="1" applyFont="1" applyBorder="1" applyAlignment="1">
      <alignment horizontal="center"/>
    </xf>
    <xf numFmtId="174" fontId="2" fillId="0" borderId="2" xfId="21" applyNumberFormat="1" applyFont="1" applyBorder="1" applyAlignment="1">
      <alignment horizontal="center"/>
    </xf>
    <xf numFmtId="174" fontId="4" fillId="0" borderId="2" xfId="21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0" fontId="2" fillId="0" borderId="2" xfId="0" applyNumberFormat="1" applyFont="1" applyBorder="1" applyAlignment="1" applyProtection="1">
      <alignment horizontal="center"/>
      <protection hidden="1"/>
    </xf>
    <xf numFmtId="174" fontId="2" fillId="0" borderId="2" xfId="0" applyNumberFormat="1" applyFont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left" vertical="center"/>
      <protection hidden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9" fontId="3" fillId="2" borderId="2" xfId="0" applyNumberFormat="1" applyFont="1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2" fillId="2" borderId="0" xfId="20" applyNumberFormat="1" applyFont="1" applyFill="1" applyAlignment="1">
      <alignment horizontal="right"/>
      <protection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6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7" fillId="2" borderId="0" xfId="0" applyFont="1" applyFill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" borderId="20" xfId="0" applyFont="1" applyFill="1" applyBorder="1" applyAlignment="1">
      <alignment/>
    </xf>
    <xf numFmtId="174" fontId="4" fillId="2" borderId="2" xfId="21" applyNumberFormat="1" applyFont="1" applyFill="1" applyBorder="1" applyAlignment="1" applyProtection="1">
      <alignment horizontal="center"/>
      <protection hidden="1"/>
    </xf>
    <xf numFmtId="0" fontId="30" fillId="2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174" fontId="4" fillId="0" borderId="0" xfId="21" applyNumberFormat="1" applyFont="1" applyBorder="1" applyAlignment="1">
      <alignment horizontal="center"/>
    </xf>
    <xf numFmtId="174" fontId="4" fillId="2" borderId="0" xfId="21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0" fontId="2" fillId="0" borderId="2" xfId="0" applyNumberFormat="1" applyFont="1" applyBorder="1" applyAlignment="1">
      <alignment horizontal="center"/>
    </xf>
    <xf numFmtId="10" fontId="2" fillId="0" borderId="2" xfId="21" applyNumberFormat="1" applyFont="1" applyBorder="1" applyAlignment="1">
      <alignment horizontal="center"/>
    </xf>
    <xf numFmtId="10" fontId="4" fillId="0" borderId="2" xfId="21" applyNumberFormat="1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9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172" fontId="2" fillId="3" borderId="0" xfId="0" applyNumberFormat="1" applyFont="1" applyFill="1" applyAlignment="1" applyProtection="1">
      <alignment horizontal="center"/>
      <protection hidden="1"/>
    </xf>
    <xf numFmtId="172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12" fillId="2" borderId="5" xfId="0" applyFont="1" applyFill="1" applyBorder="1" applyAlignment="1" applyProtection="1">
      <alignment horizontal="left" vertical="center"/>
      <protection hidden="1"/>
    </xf>
    <xf numFmtId="0" fontId="12" fillId="0" borderId="7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2" borderId="0" xfId="20" applyNumberFormat="1" applyFont="1" applyFill="1" applyAlignment="1">
      <alignment horizontal="center"/>
      <protection/>
    </xf>
    <xf numFmtId="0" fontId="24" fillId="3" borderId="21" xfId="0" applyFont="1" applyFill="1" applyBorder="1" applyAlignment="1">
      <alignment horizontal="center" vertical="center" textRotation="90" wrapText="1"/>
    </xf>
    <xf numFmtId="0" fontId="24" fillId="3" borderId="9" xfId="0" applyFont="1" applyFill="1" applyBorder="1" applyAlignment="1">
      <alignment horizontal="center" vertical="center" textRotation="90" wrapText="1"/>
    </xf>
    <xf numFmtId="0" fontId="24" fillId="3" borderId="22" xfId="0" applyFont="1" applyFill="1" applyBorder="1" applyAlignment="1">
      <alignment horizontal="center" vertical="center" textRotation="90" wrapText="1"/>
    </xf>
    <xf numFmtId="0" fontId="24" fillId="3" borderId="10" xfId="0" applyFont="1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3" fillId="2" borderId="5" xfId="0" applyNumberFormat="1" applyFon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ormulář CC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0</xdr:row>
      <xdr:rowOff>9525</xdr:rowOff>
    </xdr:from>
    <xdr:to>
      <xdr:col>7</xdr:col>
      <xdr:colOff>1304925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525"/>
          <a:ext cx="2143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47</xdr:row>
      <xdr:rowOff>95250</xdr:rowOff>
    </xdr:from>
    <xdr:to>
      <xdr:col>33</xdr:col>
      <xdr:colOff>161925</xdr:colOff>
      <xdr:row>52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648700"/>
          <a:ext cx="2162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3.00390625" style="2" customWidth="1"/>
    <col min="2" max="2" width="2.00390625" style="1" customWidth="1"/>
    <col min="3" max="3" width="9.75390625" style="0" customWidth="1"/>
    <col min="4" max="4" width="17.75390625" style="0" customWidth="1"/>
    <col min="5" max="5" width="10.375" style="0" customWidth="1"/>
    <col min="6" max="6" width="16.75390625" style="0" customWidth="1"/>
    <col min="7" max="7" width="9.75390625" style="0" customWidth="1"/>
    <col min="8" max="8" width="17.25390625" style="0" customWidth="1"/>
    <col min="9" max="9" width="1.37890625" style="0" customWidth="1"/>
    <col min="10" max="23" width="9.125" style="2" customWidth="1"/>
  </cols>
  <sheetData>
    <row r="1" spans="1:23" s="6" customFormat="1" ht="4.5" customHeight="1">
      <c r="A1" s="5"/>
      <c r="B1" s="27"/>
      <c r="C1" s="3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4" customFormat="1" ht="12.75" customHeight="1">
      <c r="A2" s="13"/>
      <c r="B2" s="40" t="str">
        <f>IF(E207=1," pobočka Praha 2",IF(E207=2," pobočka Rakovník"," pobočka České Budějovice"))</f>
        <v> pobočka Praha 2</v>
      </c>
      <c r="C2" s="38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4" customFormat="1" ht="12.75" customHeight="1">
      <c r="A3" s="13"/>
      <c r="B3" s="41" t="str">
        <f>IF(E207=1," Sekaninova 52, PSČ: 128 00",IF(E207=2," Pražská 2327, PSČ: 269 01"," Krajinská 275/38, PSČ: 370 01"))</f>
        <v> Sekaninova 52, PSČ: 128 00</v>
      </c>
      <c r="C3" s="38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12.75" customHeight="1">
      <c r="A4" s="13"/>
      <c r="B4" s="41" t="str">
        <f>IF(E207=1," tel.: 224 936 262-3",IF(E207=2," tel.: 313 515 742-3"," tel.:"))</f>
        <v> tel.: 224 936 262-3</v>
      </c>
      <c r="C4" s="38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14" customFormat="1" ht="12.75" customHeight="1">
      <c r="A5" s="13"/>
      <c r="B5" s="41" t="str">
        <f>IF(E207=1," fax: 261 220 074",IF(E207=2," fax: 313 516 260"," fax: "))</f>
        <v> fax: 261 220 074</v>
      </c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4" customFormat="1" ht="12.75" customHeight="1">
      <c r="A6" s="13"/>
      <c r="B6" s="41" t="str">
        <f>IF(E207=1," e-mail: praha@euroleasing.cz",IF(E207=2," e-mail: rakovník@euroleasing.cz"," e-mail: cbudejovice@euroleasing.cz"))</f>
        <v> e-mail: praha@euroleasing.cz</v>
      </c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4" customFormat="1" ht="12.75" customHeight="1">
      <c r="A7" s="13"/>
      <c r="B7" s="41" t="str">
        <f>IF(E207=1," vyřizuje: Dagmar Obstová, 608 345 108",IF(E207=2," vyřizuje: J.Komínková, 608 345 109"," vyřizuje: "))</f>
        <v> vyřizuje: Dagmar Obstová, 608 345 108</v>
      </c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14" customFormat="1" ht="10.5" customHeight="1">
      <c r="A8" s="13"/>
      <c r="B8" s="42"/>
      <c r="C8" s="39"/>
      <c r="D8" s="39"/>
      <c r="E8" s="39"/>
      <c r="F8" s="39"/>
      <c r="G8" s="39"/>
      <c r="H8" s="39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37" customFormat="1" ht="6" customHeight="1">
      <c r="A9" s="36"/>
      <c r="B9" s="35"/>
      <c r="C9" s="20"/>
      <c r="D9" s="35"/>
      <c r="E9" s="35"/>
      <c r="F9" s="35"/>
      <c r="G9" s="18"/>
      <c r="H9" s="43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s="6" customFormat="1" ht="37.5" customHeight="1">
      <c r="A10" s="5"/>
      <c r="B10" s="4"/>
      <c r="C10" s="48" t="s">
        <v>13</v>
      </c>
      <c r="D10" s="4"/>
      <c r="E10" s="4"/>
      <c r="G10" s="44"/>
      <c r="H10" s="45"/>
      <c r="I10" s="4"/>
      <c r="J10" s="8"/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14.25" customHeight="1">
      <c r="A11" s="5"/>
      <c r="B11" s="4"/>
      <c r="C11" s="4"/>
      <c r="D11" s="4"/>
      <c r="E11" s="4"/>
      <c r="F11" s="4"/>
      <c r="G11" s="46"/>
      <c r="H11" s="45"/>
      <c r="I11" s="4"/>
      <c r="J11" s="8"/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12" customHeight="1">
      <c r="A12" s="5"/>
      <c r="B12" s="4"/>
      <c r="C12" s="4"/>
      <c r="D12" s="4"/>
      <c r="E12" s="4"/>
      <c r="F12" s="12"/>
      <c r="G12" s="46"/>
      <c r="H12" s="45"/>
      <c r="I12" s="4"/>
      <c r="J12" s="8"/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14.25" customHeight="1">
      <c r="A13" s="5"/>
      <c r="B13" s="4"/>
      <c r="C13" s="4"/>
      <c r="D13" s="4"/>
      <c r="E13" s="4"/>
      <c r="F13" s="4"/>
      <c r="G13" s="47"/>
      <c r="H13" s="45"/>
      <c r="I13" s="4"/>
      <c r="J13" s="8"/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6" customFormat="1" ht="16.5" customHeight="1">
      <c r="A14" s="5"/>
      <c r="B14" s="4"/>
      <c r="C14" s="127" t="s">
        <v>20</v>
      </c>
      <c r="D14" s="128"/>
      <c r="E14" s="129"/>
      <c r="F14" s="75">
        <v>1000000</v>
      </c>
      <c r="G14" s="46"/>
      <c r="H14" s="45"/>
      <c r="I14" s="4"/>
      <c r="J14" s="8"/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6" customFormat="1" ht="16.5" customHeight="1">
      <c r="A15" s="5"/>
      <c r="B15" s="4"/>
      <c r="C15" s="130" t="s">
        <v>3</v>
      </c>
      <c r="D15" s="131"/>
      <c r="E15" s="132"/>
      <c r="F15" s="68">
        <f>F14*0.19</f>
        <v>190000</v>
      </c>
      <c r="G15" s="46"/>
      <c r="H15" s="45"/>
      <c r="I15" s="4"/>
      <c r="J15" s="8"/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6" customFormat="1" ht="16.5" customHeight="1">
      <c r="A16" s="5"/>
      <c r="B16" s="4"/>
      <c r="C16" s="133" t="s">
        <v>1</v>
      </c>
      <c r="D16" s="134"/>
      <c r="E16" s="135"/>
      <c r="F16" s="68">
        <f>SUM(F14:F15)</f>
        <v>1190000</v>
      </c>
      <c r="G16" s="4"/>
      <c r="H16" s="10"/>
      <c r="I16" s="4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6" customFormat="1" ht="35.25" customHeight="1">
      <c r="A17" s="5"/>
      <c r="B17" s="4"/>
      <c r="C17" s="67" t="s">
        <v>4</v>
      </c>
      <c r="D17" s="50"/>
      <c r="E17" s="50"/>
      <c r="F17" s="50"/>
      <c r="G17" s="50"/>
      <c r="H17" s="5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65" customFormat="1" ht="18" customHeight="1">
      <c r="A18" s="58"/>
      <c r="B18" s="59"/>
      <c r="C18" s="57" t="s">
        <v>14</v>
      </c>
      <c r="D18" s="60"/>
      <c r="E18" s="61"/>
      <c r="F18" s="62" t="s">
        <v>18</v>
      </c>
      <c r="G18" s="63"/>
      <c r="H18" s="64"/>
      <c r="I18" s="5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s="65" customFormat="1" ht="18" customHeight="1">
      <c r="A19" s="58"/>
      <c r="B19" s="59"/>
      <c r="C19" s="54" t="s">
        <v>0</v>
      </c>
      <c r="D19" s="55" t="s">
        <v>16</v>
      </c>
      <c r="E19" s="56" t="s">
        <v>15</v>
      </c>
      <c r="F19" s="64" t="s">
        <v>17</v>
      </c>
      <c r="G19" s="63" t="s">
        <v>15</v>
      </c>
      <c r="H19" s="66" t="s">
        <v>19</v>
      </c>
      <c r="I19" s="5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s="53" customFormat="1" ht="12.75" customHeight="1">
      <c r="A20" s="51"/>
      <c r="B20" s="52"/>
      <c r="C20" s="69">
        <v>0.2</v>
      </c>
      <c r="D20" s="70">
        <f>$F$14*C20</f>
        <v>200000</v>
      </c>
      <c r="E20" s="71">
        <f>D20*0.19</f>
        <v>38000</v>
      </c>
      <c r="F20" s="70">
        <f>(CEILING((PMT($G$62/12,48,-($F$14+($F$14*$H$77)-(D20)),,1))+(PMT($G$62/12,48,-($F$14+($F$14*$H$77)-(D20)),,1))*0.19,1)-((PMT($G$62/12,48,-($F$14+($F$14*$H$77)-(D20)),,1))+(PMT($G$62/12,48,-($F$14+($F$14*$H$77)-(D20)),,1))*0.19))/1.19+(PMT($G$62/12,48,-($F$14+($F$14*$H$77)-(D20)),,1))</f>
        <v>20236.974789915967</v>
      </c>
      <c r="G20" s="68">
        <f>F20*0.19</f>
        <v>3845.0252100840335</v>
      </c>
      <c r="H20" s="70">
        <f>SUM(F20:G20)</f>
        <v>24082</v>
      </c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3" customFormat="1" ht="12.75" customHeight="1">
      <c r="A21" s="51"/>
      <c r="B21" s="52"/>
      <c r="C21" s="69">
        <v>0.25</v>
      </c>
      <c r="D21" s="70">
        <f>$F$14*C21</f>
        <v>250000</v>
      </c>
      <c r="E21" s="71">
        <f>D21*0.19</f>
        <v>47500</v>
      </c>
      <c r="F21" s="70">
        <f>(CEILING((PMT($G$62/12,48,-($F$14+($F$14*$H$77)-(D21)),,1))+(PMT($G$62/12,48,-($F$14+($F$14*$H$77)-(D21)),,1))*0.19,1)-((PMT($G$62/12,48,-($F$14+($F$14*$H$77)-(D21)),,1))+(PMT($G$62/12,48,-($F$14+($F$14*$H$77)-(D21)),,1))*0.19))/1.19+(PMT($G$62/12,48,-($F$14+($F$14*$H$77)-(D21)),,1))</f>
        <v>19046.21848739496</v>
      </c>
      <c r="G21" s="68">
        <f>F21*0.19</f>
        <v>3618.7815126050423</v>
      </c>
      <c r="H21" s="70">
        <f>SUM(F21:G21)</f>
        <v>22665</v>
      </c>
      <c r="I21" s="5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53" customFormat="1" ht="12.75" customHeight="1">
      <c r="A22" s="51"/>
      <c r="B22" s="52"/>
      <c r="C22" s="69">
        <v>0.3</v>
      </c>
      <c r="D22" s="70">
        <f>$F$14*C22</f>
        <v>300000</v>
      </c>
      <c r="E22" s="71">
        <f>D22*0.19</f>
        <v>57000</v>
      </c>
      <c r="F22" s="70">
        <f>(CEILING((PMT($G$62/12,48,-($F$14+($F$14*$H$77)-(D22)),,1))+(PMT($G$62/12,48,-($F$14+($F$14*$H$77)-(D22)),,1))*0.19,1)-((PMT($G$62/12,48,-($F$14+($F$14*$H$77)-(D22)),,1))+(PMT($G$62/12,48,-($F$14+($F$14*$H$77)-(D22)),,1))*0.19))/1.19+(PMT($G$62/12,48,-($F$14+($F$14*$H$77)-(D22)),,1))</f>
        <v>17856.3025210084</v>
      </c>
      <c r="G22" s="68">
        <f>F22*0.19</f>
        <v>3392.697478991596</v>
      </c>
      <c r="H22" s="70">
        <f>SUM(F22:G22)</f>
        <v>21248.999999999996</v>
      </c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3" customFormat="1" ht="12.75" customHeight="1">
      <c r="A23" s="51"/>
      <c r="B23" s="52"/>
      <c r="C23" s="69">
        <v>0.4</v>
      </c>
      <c r="D23" s="70">
        <f>$F$14*C23</f>
        <v>400000</v>
      </c>
      <c r="E23" s="71">
        <f>D23*0.19</f>
        <v>76000</v>
      </c>
      <c r="F23" s="70">
        <f>(CEILING((PMT($G$62/12,48,-($F$14+($F$14*$H$77)-(D23)),,1))+(PMT($G$62/12,48,-($F$14+($F$14*$H$77)-(D23)),,1))*0.19,1)-((PMT($G$62/12,48,-($F$14+($F$14*$H$77)-(D23)),,1))+(PMT($G$62/12,48,-($F$14+($F$14*$H$77)-(D23)),,1))*0.19))/1.19+(PMT($G$62/12,48,-($F$14+($F$14*$H$77)-(D23)),,1))</f>
        <v>15474.789915966385</v>
      </c>
      <c r="G23" s="68">
        <f>F23*0.19</f>
        <v>2940.210084033613</v>
      </c>
      <c r="H23" s="70">
        <f>SUM(F23:G23)</f>
        <v>18414.999999999996</v>
      </c>
      <c r="I23" s="5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53" customFormat="1" ht="12.75" customHeight="1">
      <c r="A24" s="51"/>
      <c r="B24" s="52"/>
      <c r="C24" s="69">
        <v>0.5</v>
      </c>
      <c r="D24" s="70">
        <f>$F$14*C24</f>
        <v>500000</v>
      </c>
      <c r="E24" s="71">
        <f>D24*0.19</f>
        <v>95000</v>
      </c>
      <c r="F24" s="70">
        <f>(CEILING((PMT($G$62/12,48,-($F$14+($F$14*$H$77)-(D24)),,1))+(PMT($G$62/12,48,-($F$14+($F$14*$H$77)-(D24)),,1))*0.19,1)-((PMT($G$62/12,48,-($F$14+($F$14*$H$77)-(D24)),,1))+(PMT($G$62/12,48,-($F$14+($F$14*$H$77)-(D24)),,1))*0.19))/1.19+(PMT($G$62/12,48,-($F$14+($F$14*$H$77)-(D24)),,1))</f>
        <v>13094.117647058823</v>
      </c>
      <c r="G24" s="68">
        <f>F24*0.19</f>
        <v>2487.8823529411766</v>
      </c>
      <c r="H24" s="70">
        <f>SUM(F24:G24)</f>
        <v>15582</v>
      </c>
      <c r="I24" s="52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6" customFormat="1" ht="24.75" customHeight="1">
      <c r="A25" s="5"/>
      <c r="B25" s="4"/>
      <c r="C25" s="11" t="s">
        <v>5</v>
      </c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4" customFormat="1" ht="18" customHeight="1">
      <c r="A26" s="13"/>
      <c r="B26" s="12"/>
      <c r="C26" s="57" t="s">
        <v>14</v>
      </c>
      <c r="D26" s="60"/>
      <c r="E26" s="61"/>
      <c r="F26" s="62" t="s">
        <v>18</v>
      </c>
      <c r="G26" s="63"/>
      <c r="H26" s="64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4" customFormat="1" ht="18" customHeight="1">
      <c r="A27" s="13"/>
      <c r="B27" s="12"/>
      <c r="C27" s="54" t="s">
        <v>0</v>
      </c>
      <c r="D27" s="55" t="s">
        <v>16</v>
      </c>
      <c r="E27" s="56" t="s">
        <v>15</v>
      </c>
      <c r="F27" s="64" t="s">
        <v>17</v>
      </c>
      <c r="G27" s="63" t="s">
        <v>15</v>
      </c>
      <c r="H27" s="66" t="s">
        <v>19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53" customFormat="1" ht="12.75" customHeight="1">
      <c r="A28" s="51"/>
      <c r="B28" s="52"/>
      <c r="C28" s="69">
        <v>0.2</v>
      </c>
      <c r="D28" s="70">
        <f>$F$14*C28</f>
        <v>200000</v>
      </c>
      <c r="E28" s="71">
        <f>D28*0.19</f>
        <v>38000</v>
      </c>
      <c r="F28" s="70">
        <f>(CEILING((PMT($G$62/12,36,-($F$14+($F$14*$H$77)-(D28)),,1))+(PMT($G$62/12,36,-($F$14+($F$14*$H$77)-(D28)),,1))*0.19,1)-((PMT($G$62/12,36,-($F$14+($F$14*$H$77)-(D28)),,1))+(PMT($G$62/12,36,-($F$14+($F$14*$H$77)-(D28)),,1))*0.19))/1.19+(PMT($G$62/12,36,-($F$14+($F$14*$H$77)-(D28)),,1))</f>
        <v>26094.117647058825</v>
      </c>
      <c r="G28" s="68">
        <f>F28*0.19</f>
        <v>4957.882352941177</v>
      </c>
      <c r="H28" s="70">
        <f>SUM(F28:G28)</f>
        <v>31052</v>
      </c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s="53" customFormat="1" ht="12.75" customHeight="1">
      <c r="A29" s="51"/>
      <c r="B29" s="52"/>
      <c r="C29" s="69">
        <v>0.25</v>
      </c>
      <c r="D29" s="70">
        <f>$F$14*C29</f>
        <v>250000</v>
      </c>
      <c r="E29" s="71">
        <f>D29*0.19</f>
        <v>47500</v>
      </c>
      <c r="F29" s="70">
        <f>(CEILING((PMT($G$62/12,36,-($F$14+($F$14*$H$77)-(D29)),,1))+(PMT($G$62/12,36,-($F$14+($F$14*$H$77)-(D29)),,1))*0.19,1)-((PMT($G$62/12,36,-($F$14+($F$14*$H$77)-(D29)),,1))+(PMT($G$62/12,36,-($F$14+($F$14*$H$77)-(D29)),,1))*0.19))/1.19+(PMT($G$62/12,36,-($F$14+($F$14*$H$77)-(D29)),,1))</f>
        <v>24558.823529411766</v>
      </c>
      <c r="G29" s="68">
        <f>F29*0.19</f>
        <v>4666.176470588235</v>
      </c>
      <c r="H29" s="70">
        <f>SUM(F29:G29)</f>
        <v>29225</v>
      </c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s="53" customFormat="1" ht="12.75" customHeight="1">
      <c r="A30" s="51"/>
      <c r="B30" s="52"/>
      <c r="C30" s="69">
        <v>0.3</v>
      </c>
      <c r="D30" s="70">
        <f>$F$14*C30</f>
        <v>300000</v>
      </c>
      <c r="E30" s="71">
        <f>D30*0.19</f>
        <v>57000</v>
      </c>
      <c r="F30" s="70">
        <f>(CEILING((PMT($G$62/12,36,-($F$14+($F$14*$H$77)-(D30)),,1))+(PMT($G$62/12,36,-($F$14+($F$14*$H$77)-(D30)),,1))*0.19,1)-((PMT($G$62/12,36,-($F$14+($F$14*$H$77)-(D30)),,1))+(PMT($G$62/12,36,-($F$14+($F$14*$H$77)-(D30)),,1))*0.19))/1.19+(PMT($G$62/12,36,-($F$14+($F$14*$H$77)-(D30)),,1))</f>
        <v>23023.529411764706</v>
      </c>
      <c r="G30" s="68">
        <f>F30*0.19</f>
        <v>4374.470588235295</v>
      </c>
      <c r="H30" s="70">
        <f>SUM(F30:G30)</f>
        <v>27398</v>
      </c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s="53" customFormat="1" ht="12.75" customHeight="1">
      <c r="A31" s="51"/>
      <c r="B31" s="52"/>
      <c r="C31" s="69">
        <v>0.4</v>
      </c>
      <c r="D31" s="70">
        <f>$F$14*C31</f>
        <v>400000</v>
      </c>
      <c r="E31" s="71">
        <f>D31*0.19</f>
        <v>76000</v>
      </c>
      <c r="F31" s="70">
        <f>(CEILING((PMT($G$62/12,36,-($F$14+($F$14*$H$77)-(D31)),,1))+(PMT($G$62/12,36,-($F$14+($F$14*$H$77)-(D31)),,1))*0.19,1)-((PMT($G$62/12,36,-($F$14+($F$14*$H$77)-(D31)),,1))+(PMT($G$62/12,36,-($F$14+($F$14*$H$77)-(D31)),,1))*0.19))/1.19+(PMT($G$62/12,36,-($F$14+($F$14*$H$77)-(D31)),,1))</f>
        <v>19953.781512605045</v>
      </c>
      <c r="G31" s="68">
        <f>F31*0.19</f>
        <v>3791.2184873949586</v>
      </c>
      <c r="H31" s="70">
        <f>SUM(F31:G31)</f>
        <v>23745.000000000004</v>
      </c>
      <c r="I31" s="5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s="53" customFormat="1" ht="12.75" customHeight="1">
      <c r="A32" s="51"/>
      <c r="B32" s="52"/>
      <c r="C32" s="69">
        <v>0.5</v>
      </c>
      <c r="D32" s="70">
        <f>$F$14*C32</f>
        <v>500000</v>
      </c>
      <c r="E32" s="71">
        <f>D32*0.19</f>
        <v>95000</v>
      </c>
      <c r="F32" s="70">
        <f>(CEILING((PMT($G$62/12,36,-($F$14+($F$14*$H$77)-(D32)),,1))+(PMT($G$62/12,36,-($F$14+($F$14*$H$77)-(D32)),,1))*0.19,1)-((PMT($G$62/12,36,-($F$14+($F$14*$H$77)-(D32)),,1))+(PMT($G$62/12,36,-($F$14+($F$14*$H$77)-(D32)),,1))*0.19))/1.19+(PMT($G$62/12,36,-($F$14+($F$14*$H$77)-(D32)),,1))</f>
        <v>16884.03361344538</v>
      </c>
      <c r="G32" s="68">
        <f>F32*0.19</f>
        <v>3207.966386554622</v>
      </c>
      <c r="H32" s="70">
        <f>SUM(F32:G32)</f>
        <v>20092</v>
      </c>
      <c r="I32" s="52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s="6" customFormat="1" ht="24.75" customHeight="1">
      <c r="A33" s="5"/>
      <c r="B33" s="4"/>
      <c r="C33" s="11" t="s">
        <v>7</v>
      </c>
      <c r="D33" s="4"/>
      <c r="E33" s="4"/>
      <c r="F33" s="4"/>
      <c r="G33" s="4"/>
      <c r="H33" s="4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4" customFormat="1" ht="18" customHeight="1">
      <c r="A34" s="13"/>
      <c r="B34" s="12"/>
      <c r="C34" s="57" t="s">
        <v>14</v>
      </c>
      <c r="D34" s="60"/>
      <c r="E34" s="61"/>
      <c r="F34" s="62" t="s">
        <v>18</v>
      </c>
      <c r="G34" s="63"/>
      <c r="H34" s="64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4" customFormat="1" ht="18" customHeight="1">
      <c r="A35" s="13"/>
      <c r="B35" s="12"/>
      <c r="C35" s="54" t="s">
        <v>0</v>
      </c>
      <c r="D35" s="55" t="s">
        <v>16</v>
      </c>
      <c r="E35" s="56" t="s">
        <v>15</v>
      </c>
      <c r="F35" s="64" t="s">
        <v>17</v>
      </c>
      <c r="G35" s="63" t="s">
        <v>15</v>
      </c>
      <c r="H35" s="66" t="s">
        <v>19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53" customFormat="1" ht="12.75" customHeight="1">
      <c r="A36" s="51"/>
      <c r="B36" s="52"/>
      <c r="C36" s="69">
        <v>0.2</v>
      </c>
      <c r="D36" s="70">
        <f>$F$14*C36</f>
        <v>200000</v>
      </c>
      <c r="E36" s="71">
        <f>D36*0.19</f>
        <v>38000</v>
      </c>
      <c r="F36" s="70">
        <f>(CEILING((PMT($G$62/12,24,-($F$14+($F$14*$H$77)-(D36)),,1))+(PMT($G$62/12,24,-($F$14+($F$14*$H$77)-(D36)),,1))*0.19,1)-((PMT($G$62/12,24,-($F$14+($F$14*$H$77)-(D36)),,1))+(PMT($G$62/12,24,-($F$14+($F$14*$H$77)-(D36)),,1))*0.19))/1.19+(PMT($G$62/12,24,-($F$14+($F$14*$H$77)-(D36)),,1))</f>
        <v>37836.13445378151</v>
      </c>
      <c r="G36" s="68">
        <f>F36*0.19</f>
        <v>7188.865546218487</v>
      </c>
      <c r="H36" s="70">
        <f>SUM(F36:G36)</f>
        <v>45025</v>
      </c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s="53" customFormat="1" ht="12.75" customHeight="1">
      <c r="A37" s="51"/>
      <c r="B37" s="52"/>
      <c r="C37" s="69">
        <v>0.25</v>
      </c>
      <c r="D37" s="70">
        <f>$F$14*C37</f>
        <v>250000</v>
      </c>
      <c r="E37" s="71">
        <f>D37*0.19</f>
        <v>47500</v>
      </c>
      <c r="F37" s="70">
        <f>(CEILING((PMT($G$62/12,24,-($F$14+($F$14*$H$77)-(D37)),,1))+(PMT($G$62/12,24,-($F$14+($F$14*$H$77)-(D37)),,1))*0.19,1)-((PMT($G$62/12,24,-($F$14+($F$14*$H$77)-(D37)),,1))+(PMT($G$62/12,24,-($F$14+($F$14*$H$77)-(D37)),,1))*0.19))/1.19+(PMT($G$62/12,24,-($F$14+($F$14*$H$77)-(D37)),,1))</f>
        <v>35610.924369747896</v>
      </c>
      <c r="G37" s="68">
        <f>F37*0.19</f>
        <v>6766.0756302521</v>
      </c>
      <c r="H37" s="70">
        <f>SUM(F37:G37)</f>
        <v>42377</v>
      </c>
      <c r="I37" s="52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s="53" customFormat="1" ht="12.75" customHeight="1">
      <c r="A38" s="51"/>
      <c r="B38" s="52"/>
      <c r="C38" s="69">
        <v>0.3</v>
      </c>
      <c r="D38" s="70">
        <f>$F$14*C38</f>
        <v>300000</v>
      </c>
      <c r="E38" s="71">
        <f>D38*0.19</f>
        <v>57000</v>
      </c>
      <c r="F38" s="70">
        <f>(CEILING((PMT($G$62/12,24,-($F$14+($F$14*$H$77)-(D38)),,1))+(PMT($G$62/12,24,-($F$14+($F$14*$H$77)-(D38)),,1))*0.19,1)-((PMT($G$62/12,24,-($F$14+($F$14*$H$77)-(D38)),,1))+(PMT($G$62/12,24,-($F$14+($F$14*$H$77)-(D38)),,1))*0.19))/1.19+(PMT($G$62/12,24,-($F$14+($F$14*$H$77)-(D38)),,1))</f>
        <v>33384.873949579836</v>
      </c>
      <c r="G38" s="68">
        <f>F38*0.19</f>
        <v>6343.126050420169</v>
      </c>
      <c r="H38" s="70">
        <f>SUM(F38:G38)</f>
        <v>39728.00000000001</v>
      </c>
      <c r="I38" s="52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s="53" customFormat="1" ht="12.75" customHeight="1">
      <c r="A39" s="51"/>
      <c r="B39" s="52"/>
      <c r="C39" s="69">
        <v>0.4</v>
      </c>
      <c r="D39" s="70">
        <f>$F$14*C39</f>
        <v>400000</v>
      </c>
      <c r="E39" s="71">
        <f>D39*0.19</f>
        <v>76000</v>
      </c>
      <c r="F39" s="70">
        <f>(CEILING((PMT($G$62/12,24,-($F$14+($F$14*$H$77)-(D39)),,1))+(PMT($G$62/12,24,-($F$14+($F$14*$H$77)-(D39)),,1))*0.19,1)-((PMT($G$62/12,24,-($F$14+($F$14*$H$77)-(D39)),,1))+(PMT($G$62/12,24,-($F$14+($F$14*$H$77)-(D39)),,1))*0.19))/1.19+(PMT($G$62/12,24,-($F$14+($F$14*$H$77)-(D39)),,1))</f>
        <v>28933.613445378152</v>
      </c>
      <c r="G39" s="68">
        <f>F39*0.19</f>
        <v>5497.386554621849</v>
      </c>
      <c r="H39" s="70">
        <f>SUM(F39:G39)</f>
        <v>34431</v>
      </c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s="53" customFormat="1" ht="12.75" customHeight="1">
      <c r="A40" s="51"/>
      <c r="B40" s="52"/>
      <c r="C40" s="69">
        <v>0.5</v>
      </c>
      <c r="D40" s="70">
        <f>$F$14*C40</f>
        <v>500000</v>
      </c>
      <c r="E40" s="71">
        <f>D40*0.19</f>
        <v>95000</v>
      </c>
      <c r="F40" s="70">
        <f>(CEILING((PMT($G$62/12,24,-($F$14+($F$14*$H$77)-(D40)),,1))+(PMT($G$62/12,24,-($F$14+($F$14*$H$77)-(D40)),,1))*0.19,1)-((PMT($G$62/12,24,-($F$14+($F$14*$H$77)-(D40)),,1))+(PMT($G$62/12,24,-($F$14+($F$14*$H$77)-(D40)),,1))*0.19))/1.19+(PMT($G$62/12,24,-($F$14+($F$14*$H$77)-(D40)),,1))</f>
        <v>24482.35294117647</v>
      </c>
      <c r="G40" s="68">
        <f>F40*0.19</f>
        <v>4651.647058823529</v>
      </c>
      <c r="H40" s="70">
        <f>SUM(F40:G40)</f>
        <v>29133.999999999996</v>
      </c>
      <c r="I40" s="5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s="6" customFormat="1" ht="24.75" customHeight="1">
      <c r="A41" s="5"/>
      <c r="B41" s="4"/>
      <c r="C41" s="11" t="s">
        <v>6</v>
      </c>
      <c r="D41" s="4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4" customFormat="1" ht="18" customHeight="1">
      <c r="A42" s="13"/>
      <c r="B42" s="12"/>
      <c r="C42" s="57" t="s">
        <v>14</v>
      </c>
      <c r="D42" s="60"/>
      <c r="E42" s="61"/>
      <c r="F42" s="62" t="s">
        <v>18</v>
      </c>
      <c r="G42" s="63"/>
      <c r="H42" s="64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4" customFormat="1" ht="18" customHeight="1">
      <c r="A43" s="13"/>
      <c r="B43" s="12"/>
      <c r="C43" s="54" t="s">
        <v>0</v>
      </c>
      <c r="D43" s="55" t="s">
        <v>16</v>
      </c>
      <c r="E43" s="56" t="s">
        <v>15</v>
      </c>
      <c r="F43" s="64" t="s">
        <v>17</v>
      </c>
      <c r="G43" s="63" t="s">
        <v>15</v>
      </c>
      <c r="H43" s="66" t="s">
        <v>19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53" customFormat="1" ht="12.75" customHeight="1">
      <c r="A44" s="51"/>
      <c r="B44" s="52"/>
      <c r="C44" s="69">
        <v>0.2</v>
      </c>
      <c r="D44" s="70">
        <f>$F$14*C44</f>
        <v>200000</v>
      </c>
      <c r="E44" s="71">
        <f>D44*0.19</f>
        <v>38000</v>
      </c>
      <c r="F44" s="70">
        <f>(CEILING((PMT($G$62/12,12,-($F$14+($F$14*$H$77)-(D44)),,1))+(PMT($G$62/12,12,-($F$14+($F$14*$H$77)-(D44)),,1))*0.19,1)-((PMT($G$62/12,12,-($F$14+($F$14*$H$77)-(D44)),,1))+(PMT($G$62/12,12,-($F$14+($F$14*$H$77)-(D44)),,1))*0.19))/1.19+(PMT($G$62/12,12,-($F$14+($F$14*$H$77)-(D44)),,1))</f>
        <v>73121.84873949579</v>
      </c>
      <c r="G44" s="68">
        <f>F44*0.19</f>
        <v>13893.1512605042</v>
      </c>
      <c r="H44" s="70">
        <f>SUM(F44:G44)</f>
        <v>87015</v>
      </c>
      <c r="I44" s="5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s="53" customFormat="1" ht="12.75" customHeight="1">
      <c r="A45" s="51"/>
      <c r="B45" s="52"/>
      <c r="C45" s="69">
        <v>0.25</v>
      </c>
      <c r="D45" s="70">
        <f>$F$14*C45</f>
        <v>250000</v>
      </c>
      <c r="E45" s="71">
        <f>D45*0.19</f>
        <v>47500</v>
      </c>
      <c r="F45" s="70">
        <f>(CEILING((PMT($G$62/12,12,-($F$14+($F$14*$H$77)-(D45)),,1))+(PMT($G$62/12,12,-($F$14+($F$14*$H$77)-(D45)),,1))*0.19,1)-((PMT($G$62/12,12,-($F$14+($F$14*$H$77)-(D45)),,1))+(PMT($G$62/12,12,-($F$14+($F$14*$H$77)-(D45)),,1))*0.19))/1.19+(PMT($G$62/12,12,-($F$14+($F$14*$H$77)-(D45)),,1))</f>
        <v>68820.16806722688</v>
      </c>
      <c r="G45" s="68">
        <f>F45*0.19</f>
        <v>13075.831932773108</v>
      </c>
      <c r="H45" s="70">
        <f>SUM(F45:G45)</f>
        <v>81896</v>
      </c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s="53" customFormat="1" ht="12.75" customHeight="1">
      <c r="A46" s="51"/>
      <c r="B46" s="52"/>
      <c r="C46" s="69">
        <v>0.3</v>
      </c>
      <c r="D46" s="70">
        <f>$F$14*C46</f>
        <v>300000</v>
      </c>
      <c r="E46" s="71">
        <f>D46*0.19</f>
        <v>57000</v>
      </c>
      <c r="F46" s="70">
        <f>(CEILING((PMT($G$62/12,12,-($F$14+($F$14*$H$77)-(D46)),,1))+(PMT($G$62/12,12,-($F$14+($F$14*$H$77)-(D46)),,1))*0.19,1)-((PMT($G$62/12,12,-($F$14+($F$14*$H$77)-(D46)),,1))+(PMT($G$62/12,12,-($F$14+($F$14*$H$77)-(D46)),,1))*0.19))/1.19+(PMT($G$62/12,12,-($F$14+($F$14*$H$77)-(D46)),,1))</f>
        <v>64519.327731092446</v>
      </c>
      <c r="G46" s="68">
        <f>F46*0.19</f>
        <v>12258.672268907565</v>
      </c>
      <c r="H46" s="70">
        <f>SUM(F46:G46)</f>
        <v>76778.00000000001</v>
      </c>
      <c r="I46" s="5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s="53" customFormat="1" ht="12.75" customHeight="1">
      <c r="A47" s="51"/>
      <c r="B47" s="52"/>
      <c r="C47" s="69">
        <v>0.4</v>
      </c>
      <c r="D47" s="70">
        <f>$F$14*C47</f>
        <v>400000</v>
      </c>
      <c r="E47" s="71">
        <f>D47*0.19</f>
        <v>76000</v>
      </c>
      <c r="F47" s="70">
        <f>(CEILING((PMT($G$62/12,12,-($F$14+($F$14*$H$77)-(D47)),,1))+(PMT($G$62/12,12,-($F$14+($F$14*$H$77)-(D47)),,1))*0.19,1)-((PMT($G$62/12,12,-($F$14+($F$14*$H$77)-(D47)),,1))+(PMT($G$62/12,12,-($F$14+($F$14*$H$77)-(D47)),,1))*0.19))/1.19+(PMT($G$62/12,12,-($F$14+($F$14*$H$77)-(D47)),,1))</f>
        <v>55916.80672268908</v>
      </c>
      <c r="G47" s="68">
        <f>F47*0.19</f>
        <v>10624.193277310926</v>
      </c>
      <c r="H47" s="70">
        <f>SUM(F47:G47)</f>
        <v>66541</v>
      </c>
      <c r="I47" s="5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s="53" customFormat="1" ht="12.75" customHeight="1">
      <c r="A48" s="51"/>
      <c r="B48" s="52"/>
      <c r="C48" s="69">
        <v>0.5</v>
      </c>
      <c r="D48" s="70">
        <f>$F$14*C48</f>
        <v>500000</v>
      </c>
      <c r="E48" s="71">
        <f>D48*0.19</f>
        <v>95000</v>
      </c>
      <c r="F48" s="70">
        <f>(CEILING((PMT($G$62/12,12,-($F$14+($F$14*$H$77)-(D48)),,1))+(PMT($G$62/12,12,-($F$14+($F$14*$H$77)-(D48)),,1))*0.19,1)-((PMT($G$62/12,12,-($F$14+($F$14*$H$77)-(D48)),,1))+(PMT($G$62/12,12,-($F$14+($F$14*$H$77)-(D48)),,1))*0.19))/1.19+(PMT($G$62/12,12,-($F$14+($F$14*$H$77)-(D48)),,1))</f>
        <v>47314.28571428572</v>
      </c>
      <c r="G48" s="68">
        <f>F48*0.19</f>
        <v>8989.714285714286</v>
      </c>
      <c r="H48" s="70">
        <f>SUM(F48:G48)</f>
        <v>56304</v>
      </c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s="6" customFormat="1" ht="12.75" customHeight="1">
      <c r="A49" s="5"/>
      <c r="B49" s="4"/>
      <c r="C49" s="4"/>
      <c r="D49" s="4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4" customFormat="1" ht="7.5" customHeight="1">
      <c r="A50" s="13"/>
      <c r="B50" s="12"/>
      <c r="C50" s="18"/>
      <c r="D50" s="18"/>
      <c r="E50" s="18"/>
      <c r="F50" s="16"/>
      <c r="G50" s="15"/>
      <c r="H50" s="17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5" customHeight="1">
      <c r="A51" s="5"/>
      <c r="B51" s="49" t="s">
        <v>22</v>
      </c>
      <c r="D51" s="4"/>
      <c r="E51" s="4"/>
      <c r="F51" s="4"/>
      <c r="G51" s="19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9" customFormat="1" ht="2.25" customHeight="1" thickBot="1">
      <c r="A52" s="8"/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6" customFormat="1" ht="12.75" customHeight="1">
      <c r="A53" s="5"/>
      <c r="B53" s="72" t="s">
        <v>81</v>
      </c>
      <c r="C53" s="73"/>
      <c r="D53" s="73"/>
      <c r="E53" s="73"/>
      <c r="F53" s="73"/>
      <c r="G53" s="74" t="s">
        <v>21</v>
      </c>
      <c r="H53" s="73"/>
      <c r="I53" s="7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6" customFormat="1" ht="15" customHeight="1" hidden="1">
      <c r="A54" s="5"/>
      <c r="B54" s="4"/>
      <c r="C54" s="4"/>
      <c r="D54" s="4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6" customFormat="1" ht="15" customHeight="1" hidden="1">
      <c r="A55" s="5"/>
      <c r="B55" s="4"/>
      <c r="C55" s="4"/>
      <c r="D55" s="10"/>
      <c r="E55" s="10"/>
      <c r="F55" s="10"/>
      <c r="G55" s="10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6" customFormat="1" ht="15" customHeight="1" hidden="1">
      <c r="A56" s="5"/>
      <c r="B56" s="4"/>
      <c r="C56" s="4"/>
      <c r="D56" s="108" t="s">
        <v>75</v>
      </c>
      <c r="E56" s="109"/>
      <c r="F56" s="18"/>
      <c r="G56" s="18"/>
      <c r="H56" s="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2" s="6" customFormat="1" ht="15" customHeight="1" hidden="1">
      <c r="A57" s="5"/>
      <c r="B57" s="4"/>
      <c r="C57" s="4"/>
      <c r="D57" s="106" t="s">
        <v>65</v>
      </c>
      <c r="E57" s="106" t="s">
        <v>67</v>
      </c>
      <c r="F57" s="107" t="s">
        <v>66</v>
      </c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22" customFormat="1" ht="15" customHeight="1" hidden="1">
      <c r="A58" s="21"/>
      <c r="B58" s="20"/>
      <c r="C58" s="20"/>
      <c r="D58" s="28" t="s">
        <v>8</v>
      </c>
      <c r="E58" s="29">
        <v>0.09</v>
      </c>
      <c r="F58" s="29">
        <v>0.09</v>
      </c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22" customFormat="1" ht="15" customHeight="1" hidden="1">
      <c r="A59" s="21"/>
      <c r="B59" s="20"/>
      <c r="C59" s="20"/>
      <c r="D59" s="28" t="s">
        <v>9</v>
      </c>
      <c r="E59" s="29">
        <v>0.08</v>
      </c>
      <c r="F59" s="29">
        <v>0.08</v>
      </c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15" customHeight="1" hidden="1">
      <c r="A60" s="21"/>
      <c r="B60" s="20"/>
      <c r="C60" s="20"/>
      <c r="D60" s="28" t="s">
        <v>10</v>
      </c>
      <c r="E60" s="29">
        <v>0.08</v>
      </c>
      <c r="F60" s="29">
        <v>0.08</v>
      </c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22" customFormat="1" ht="15" customHeight="1" hidden="1">
      <c r="A61" s="21"/>
      <c r="B61" s="20"/>
      <c r="C61" s="20"/>
      <c r="D61" s="28" t="s">
        <v>11</v>
      </c>
      <c r="E61" s="30">
        <v>0.07</v>
      </c>
      <c r="F61" s="30">
        <v>0.07</v>
      </c>
      <c r="G61" s="24" t="s">
        <v>2</v>
      </c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22" customFormat="1" ht="15" customHeight="1" hidden="1">
      <c r="A62" s="21"/>
      <c r="B62" s="20"/>
      <c r="C62" s="20"/>
      <c r="D62" s="32" t="s">
        <v>12</v>
      </c>
      <c r="E62" s="31">
        <f>IF(F14&lt;250000,E58,IF(F14&lt;500000,E59,IF(F14&lt;1000000,E60,E61)))</f>
        <v>0.07</v>
      </c>
      <c r="F62" s="31">
        <f>IF(F14&lt;250000,F58,IF(F14&lt;500000,F59,IF(F14&lt;1000000,F60,F61)))</f>
        <v>0.07</v>
      </c>
      <c r="G62" s="111">
        <f>IF(E212=1,E62,IF(E212=2,F62,F62))</f>
        <v>0.07</v>
      </c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3" s="22" customFormat="1" ht="15" customHeight="1" hidden="1">
      <c r="A63" s="21"/>
      <c r="B63" s="20"/>
      <c r="C63" s="20"/>
      <c r="D63" s="113"/>
      <c r="E63" s="114"/>
      <c r="F63" s="114"/>
      <c r="G63" s="114"/>
      <c r="H63" s="115"/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22" customFormat="1" ht="15" customHeight="1" hidden="1">
      <c r="A64" s="21"/>
      <c r="B64" s="20"/>
      <c r="C64" s="20"/>
      <c r="D64" s="108" t="s">
        <v>76</v>
      </c>
      <c r="E64" s="109"/>
      <c r="F64" s="18"/>
      <c r="G64" s="18"/>
      <c r="H64" s="115"/>
      <c r="I64" s="20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s="22" customFormat="1" ht="15" customHeight="1" hidden="1">
      <c r="A65" s="21"/>
      <c r="B65" s="20"/>
      <c r="C65" s="20"/>
      <c r="D65" s="106" t="s">
        <v>65</v>
      </c>
      <c r="E65" s="106">
        <v>12</v>
      </c>
      <c r="F65" s="107">
        <v>24</v>
      </c>
      <c r="G65" s="107">
        <v>36</v>
      </c>
      <c r="H65" s="107">
        <v>48</v>
      </c>
      <c r="I65" s="20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s="22" customFormat="1" ht="15" customHeight="1" hidden="1">
      <c r="A66" s="21"/>
      <c r="B66" s="20"/>
      <c r="C66" s="20"/>
      <c r="D66" s="28" t="s">
        <v>8</v>
      </c>
      <c r="E66" s="117">
        <v>0.0925</v>
      </c>
      <c r="F66" s="117">
        <v>0.0875</v>
      </c>
      <c r="G66" s="33">
        <v>0.0825</v>
      </c>
      <c r="H66" s="33">
        <v>0.08</v>
      </c>
      <c r="I66" s="20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s="22" customFormat="1" ht="15" customHeight="1" hidden="1">
      <c r="A67" s="21"/>
      <c r="B67" s="20"/>
      <c r="C67" s="20"/>
      <c r="D67" s="28" t="s">
        <v>9</v>
      </c>
      <c r="E67" s="117">
        <v>0.0925</v>
      </c>
      <c r="F67" s="117">
        <v>0.0875</v>
      </c>
      <c r="G67" s="33">
        <v>0.0825</v>
      </c>
      <c r="H67" s="33">
        <v>0.08</v>
      </c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s="22" customFormat="1" ht="15" customHeight="1" hidden="1">
      <c r="A68" s="21"/>
      <c r="B68" s="20"/>
      <c r="C68" s="20"/>
      <c r="D68" s="28" t="s">
        <v>10</v>
      </c>
      <c r="E68" s="117">
        <v>0.069</v>
      </c>
      <c r="F68" s="117">
        <v>0.064</v>
      </c>
      <c r="G68" s="33">
        <v>0.059</v>
      </c>
      <c r="H68" s="33">
        <v>0.0565</v>
      </c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s="22" customFormat="1" ht="15" customHeight="1" hidden="1">
      <c r="A69" s="21"/>
      <c r="B69" s="20"/>
      <c r="C69" s="20"/>
      <c r="D69" s="28" t="s">
        <v>11</v>
      </c>
      <c r="E69" s="118">
        <v>0.069</v>
      </c>
      <c r="F69" s="118">
        <v>0.064</v>
      </c>
      <c r="G69" s="33">
        <v>0.059</v>
      </c>
      <c r="H69" s="33">
        <v>0.0565</v>
      </c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s="22" customFormat="1" ht="15" customHeight="1" hidden="1">
      <c r="A70" s="21"/>
      <c r="B70" s="20"/>
      <c r="C70" s="20"/>
      <c r="D70" s="32" t="s">
        <v>12</v>
      </c>
      <c r="E70" s="119">
        <f>IF(F14&lt;250000,E66,IF(F14&lt;500000,E67,IF(F14&lt;1000000,E68,E69)))</f>
        <v>0.069</v>
      </c>
      <c r="F70" s="119">
        <f>IF(F14&lt;250000,F66,IF(F14&lt;500000,F67,IF(F14&lt;1000000,F68,F69)))</f>
        <v>0.064</v>
      </c>
      <c r="G70" s="119">
        <f>IF(F14&lt;250000,G66,IF(F14&lt;500000,G67,IF(F14&lt;1000000,G68,G69)))</f>
        <v>0.059</v>
      </c>
      <c r="H70" s="119">
        <f>IF(F14&lt;250000,H66,IF(F14&lt;500000,H67,IF(F14&lt;1000000,H68,H69)))</f>
        <v>0.0565</v>
      </c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s="22" customFormat="1" ht="15" customHeight="1" hidden="1">
      <c r="A71" s="21"/>
      <c r="B71" s="20"/>
      <c r="C71" s="20"/>
      <c r="D71" s="24"/>
      <c r="E71" s="24"/>
      <c r="F71" s="23"/>
      <c r="G71" s="23"/>
      <c r="H71" s="116"/>
      <c r="I71" s="2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s="6" customFormat="1" ht="22.5" customHeight="1" hidden="1">
      <c r="A72" s="5"/>
      <c r="B72" s="4"/>
      <c r="C72" s="4"/>
      <c r="D72" s="106" t="s">
        <v>68</v>
      </c>
      <c r="E72" s="106" t="s">
        <v>78</v>
      </c>
      <c r="F72" s="107" t="s">
        <v>79</v>
      </c>
      <c r="G72" s="107" t="s">
        <v>80</v>
      </c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22" customFormat="1" ht="15" customHeight="1" hidden="1">
      <c r="A73" s="21"/>
      <c r="B73" s="20"/>
      <c r="C73" s="20"/>
      <c r="D73" s="28" t="s">
        <v>8</v>
      </c>
      <c r="E73" s="29">
        <v>0.05</v>
      </c>
      <c r="F73" s="29">
        <v>0.04</v>
      </c>
      <c r="G73" s="34">
        <v>0.04</v>
      </c>
      <c r="H73" s="20"/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s="22" customFormat="1" ht="15" customHeight="1" hidden="1">
      <c r="A74" s="21"/>
      <c r="B74" s="20"/>
      <c r="C74" s="20"/>
      <c r="D74" s="28" t="s">
        <v>9</v>
      </c>
      <c r="E74" s="29">
        <v>0.05</v>
      </c>
      <c r="F74" s="29">
        <v>0.035</v>
      </c>
      <c r="G74" s="34">
        <v>0.03</v>
      </c>
      <c r="H74" s="20"/>
      <c r="I74" s="2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s="22" customFormat="1" ht="15" customHeight="1" hidden="1">
      <c r="A75" s="21"/>
      <c r="B75" s="20"/>
      <c r="C75" s="20"/>
      <c r="D75" s="28" t="s">
        <v>10</v>
      </c>
      <c r="E75" s="29">
        <v>0.05</v>
      </c>
      <c r="F75" s="29">
        <v>0.03</v>
      </c>
      <c r="G75" s="34">
        <v>0.025</v>
      </c>
      <c r="H75" s="20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s="22" customFormat="1" ht="15" customHeight="1" hidden="1">
      <c r="A76" s="21"/>
      <c r="B76" s="20"/>
      <c r="C76" s="20"/>
      <c r="D76" s="28" t="s">
        <v>11</v>
      </c>
      <c r="E76" s="30">
        <v>0.05</v>
      </c>
      <c r="F76" s="30">
        <v>0.03</v>
      </c>
      <c r="G76" s="34">
        <v>0.02</v>
      </c>
      <c r="H76" s="24" t="s">
        <v>2</v>
      </c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s="22" customFormat="1" ht="15" customHeight="1" hidden="1">
      <c r="A77" s="21"/>
      <c r="B77" s="20"/>
      <c r="C77" s="20"/>
      <c r="D77" s="32" t="s">
        <v>12</v>
      </c>
      <c r="E77" s="31">
        <f>IF(F14&lt;250000,E73,IF(F14&lt;500000,E74,IF(F14&lt;1000000,E75,E76)))</f>
        <v>0.05</v>
      </c>
      <c r="F77" s="31">
        <f>IF(F14&lt;250000,F73,IF(F14&lt;500000,F74,IF(F14&lt;1000000,F75,F76)))</f>
        <v>0.03</v>
      </c>
      <c r="G77" s="31">
        <f>IF(F14&lt;250000,G73,IF(F14&lt;500000,G74,IF(F14&lt;1000000,G75,G76)))</f>
        <v>0.02</v>
      </c>
      <c r="H77" s="111">
        <f>IF(E212=1,E77,IF(E212=2,F77,G77))</f>
        <v>0.05</v>
      </c>
      <c r="I77" s="20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s="22" customFormat="1" ht="1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s="22" customFormat="1" ht="1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s="22" customFormat="1" ht="1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s="22" customFormat="1" ht="15" customHeight="1">
      <c r="A81" s="21"/>
      <c r="B81" s="21"/>
      <c r="C81" s="21"/>
      <c r="D81" s="21"/>
      <c r="E81" s="21"/>
      <c r="F81" s="21"/>
      <c r="G81" s="21"/>
      <c r="H81" s="1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s="22" customFormat="1" ht="15" customHeight="1">
      <c r="A82" s="21"/>
      <c r="B82" s="21"/>
      <c r="C82" s="21"/>
      <c r="D82" s="21"/>
      <c r="E82" s="21"/>
      <c r="F82" s="21"/>
      <c r="G82" s="21"/>
      <c r="H82" s="12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s="22" customFormat="1" ht="15" customHeight="1">
      <c r="A83" s="21"/>
      <c r="B83" s="21"/>
      <c r="C83" s="21"/>
      <c r="D83" s="21"/>
      <c r="E83" s="21"/>
      <c r="F83" s="21"/>
      <c r="G83" s="21"/>
      <c r="H83" s="123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s="22" customFormat="1" ht="15" customHeight="1">
      <c r="A84" s="21"/>
      <c r="B84" s="21"/>
      <c r="C84" s="21"/>
      <c r="D84" s="21"/>
      <c r="E84" s="21"/>
      <c r="F84" s="21"/>
      <c r="G84" s="21"/>
      <c r="H84" s="123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s="22" customFormat="1" ht="15" customHeight="1">
      <c r="A85" s="21"/>
      <c r="B85" s="21"/>
      <c r="C85" s="21"/>
      <c r="D85" s="123"/>
      <c r="E85" s="123"/>
      <c r="F85" s="123"/>
      <c r="G85" s="123"/>
      <c r="H85" s="1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s="22" customFormat="1" ht="15" customHeight="1">
      <c r="A86" s="21"/>
      <c r="B86" s="21"/>
      <c r="C86" s="21"/>
      <c r="D86" s="123"/>
      <c r="E86" s="123"/>
      <c r="F86" s="123"/>
      <c r="G86" s="123"/>
      <c r="H86" s="123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s="22" customFormat="1" ht="15" customHeight="1">
      <c r="A87" s="21"/>
      <c r="B87" s="21"/>
      <c r="C87" s="21"/>
      <c r="D87" s="123"/>
      <c r="E87" s="123"/>
      <c r="F87" s="123"/>
      <c r="G87" s="123"/>
      <c r="H87" s="123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s="22" customFormat="1" ht="15" customHeight="1">
      <c r="A88" s="21"/>
      <c r="B88" s="21"/>
      <c r="C88" s="21"/>
      <c r="D88" s="123"/>
      <c r="E88" s="123"/>
      <c r="F88" s="123"/>
      <c r="G88" s="123"/>
      <c r="H88" s="123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s="25" customFormat="1" ht="15" customHeight="1">
      <c r="A89" s="26"/>
      <c r="B89" s="26"/>
      <c r="C89" s="26"/>
      <c r="D89" s="124"/>
      <c r="E89" s="124"/>
      <c r="F89" s="124"/>
      <c r="G89" s="124"/>
      <c r="H89" s="124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s="22" customFormat="1" ht="15" customHeight="1">
      <c r="A90" s="21"/>
      <c r="B90" s="21"/>
      <c r="C90" s="21"/>
      <c r="D90" s="122"/>
      <c r="E90" s="122"/>
      <c r="F90" s="122"/>
      <c r="G90" s="122"/>
      <c r="H90" s="12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s="22" customFormat="1" ht="1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s="22" customFormat="1" ht="15" customHeight="1">
      <c r="A92" s="21"/>
      <c r="B92" s="21"/>
      <c r="C92" s="26"/>
      <c r="D92" s="21"/>
      <c r="E92" s="125"/>
      <c r="F92" s="122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22" customFormat="1" ht="15" customHeight="1">
      <c r="A93" s="21"/>
      <c r="B93" s="21"/>
      <c r="C93" s="21"/>
      <c r="D93" s="121"/>
      <c r="E93" s="121"/>
      <c r="F93" s="121"/>
      <c r="G93" s="121"/>
      <c r="H93" s="1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s="22" customFormat="1" ht="15" customHeight="1">
      <c r="A94" s="21"/>
      <c r="B94" s="21"/>
      <c r="C94" s="21"/>
      <c r="D94" s="122"/>
      <c r="E94" s="122"/>
      <c r="F94" s="122"/>
      <c r="G94" s="122"/>
      <c r="H94" s="12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22" customFormat="1" ht="15" customHeight="1">
      <c r="A95" s="21"/>
      <c r="B95" s="21"/>
      <c r="C95" s="21"/>
      <c r="D95" s="123"/>
      <c r="E95" s="123"/>
      <c r="F95" s="123"/>
      <c r="G95" s="123"/>
      <c r="H95" s="123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s="22" customFormat="1" ht="15" customHeight="1">
      <c r="A96" s="21"/>
      <c r="B96" s="21"/>
      <c r="C96" s="21"/>
      <c r="D96" s="123"/>
      <c r="E96" s="123"/>
      <c r="F96" s="123"/>
      <c r="G96" s="123"/>
      <c r="H96" s="123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22" customFormat="1" ht="15" customHeight="1">
      <c r="A97" s="21"/>
      <c r="B97" s="21"/>
      <c r="C97" s="21"/>
      <c r="D97" s="123"/>
      <c r="E97" s="123"/>
      <c r="F97" s="123"/>
      <c r="G97" s="123"/>
      <c r="H97" s="123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2" customFormat="1" ht="15" customHeight="1">
      <c r="A98" s="21"/>
      <c r="B98" s="21"/>
      <c r="C98" s="21"/>
      <c r="D98" s="123"/>
      <c r="E98" s="123"/>
      <c r="F98" s="123"/>
      <c r="G98" s="123"/>
      <c r="H98" s="12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22" customFormat="1" ht="15" customHeight="1">
      <c r="A99" s="21"/>
      <c r="B99" s="21"/>
      <c r="C99" s="21"/>
      <c r="D99" s="123"/>
      <c r="E99" s="123"/>
      <c r="F99" s="123"/>
      <c r="G99" s="123"/>
      <c r="H99" s="123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22" customFormat="1" ht="15" customHeight="1">
      <c r="A100" s="21"/>
      <c r="B100" s="21"/>
      <c r="C100" s="21"/>
      <c r="D100" s="123"/>
      <c r="E100" s="123"/>
      <c r="F100" s="123"/>
      <c r="G100" s="123"/>
      <c r="H100" s="123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s="25" customFormat="1" ht="15" customHeight="1">
      <c r="A101" s="26"/>
      <c r="B101" s="26"/>
      <c r="C101" s="26"/>
      <c r="D101" s="124"/>
      <c r="E101" s="124"/>
      <c r="F101" s="124"/>
      <c r="G101" s="124"/>
      <c r="H101" s="124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s="22" customFormat="1" ht="1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s="6" customFormat="1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22" customFormat="1" ht="15" customHeight="1">
      <c r="A104" s="21"/>
      <c r="B104" s="21"/>
      <c r="C104" s="26"/>
      <c r="D104" s="21"/>
      <c r="E104" s="125"/>
      <c r="F104" s="12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s="22" customFormat="1" ht="15" customHeight="1">
      <c r="A105" s="21"/>
      <c r="B105" s="21"/>
      <c r="C105" s="21"/>
      <c r="D105" s="121"/>
      <c r="E105" s="121"/>
      <c r="F105" s="121"/>
      <c r="G105" s="121"/>
      <c r="H105" s="1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s="22" customFormat="1" ht="15" customHeight="1">
      <c r="A106" s="21"/>
      <c r="B106" s="21"/>
      <c r="C106" s="21"/>
      <c r="D106" s="122"/>
      <c r="E106" s="122"/>
      <c r="F106" s="122"/>
      <c r="G106" s="122"/>
      <c r="H106" s="122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s="22" customFormat="1" ht="15" customHeight="1">
      <c r="A107" s="21"/>
      <c r="B107" s="21"/>
      <c r="C107" s="21"/>
      <c r="D107" s="123"/>
      <c r="E107" s="123"/>
      <c r="F107" s="123"/>
      <c r="G107" s="123"/>
      <c r="H107" s="123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s="22" customFormat="1" ht="15" customHeight="1">
      <c r="A108" s="21"/>
      <c r="B108" s="21"/>
      <c r="C108" s="21"/>
      <c r="D108" s="123"/>
      <c r="E108" s="123"/>
      <c r="F108" s="123"/>
      <c r="G108" s="123"/>
      <c r="H108" s="123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s="22" customFormat="1" ht="15" customHeight="1">
      <c r="A109" s="21"/>
      <c r="B109" s="21"/>
      <c r="C109" s="21"/>
      <c r="D109" s="123"/>
      <c r="E109" s="123"/>
      <c r="F109" s="123"/>
      <c r="G109" s="123"/>
      <c r="H109" s="123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s="22" customFormat="1" ht="15" customHeight="1">
      <c r="A110" s="21"/>
      <c r="B110" s="21"/>
      <c r="C110" s="21"/>
      <c r="D110" s="123"/>
      <c r="E110" s="123"/>
      <c r="F110" s="123"/>
      <c r="G110" s="123"/>
      <c r="H110" s="123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s="22" customFormat="1" ht="15" customHeight="1">
      <c r="A111" s="21"/>
      <c r="B111" s="21"/>
      <c r="C111" s="21"/>
      <c r="D111" s="123"/>
      <c r="E111" s="123"/>
      <c r="F111" s="123"/>
      <c r="G111" s="123"/>
      <c r="H111" s="123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s="22" customFormat="1" ht="15" customHeight="1">
      <c r="A112" s="21"/>
      <c r="B112" s="21"/>
      <c r="C112" s="21"/>
      <c r="D112" s="123"/>
      <c r="E112" s="123"/>
      <c r="F112" s="123"/>
      <c r="G112" s="123"/>
      <c r="H112" s="123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s="25" customFormat="1" ht="15" customHeight="1">
      <c r="A113" s="26"/>
      <c r="B113" s="26"/>
      <c r="C113" s="26"/>
      <c r="D113" s="124"/>
      <c r="E113" s="124"/>
      <c r="F113" s="124"/>
      <c r="G113" s="124"/>
      <c r="H113" s="124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s="6" customFormat="1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6" customFormat="1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22" customFormat="1" ht="15" customHeight="1">
      <c r="A116" s="21"/>
      <c r="B116" s="21"/>
      <c r="C116" s="26"/>
      <c r="D116" s="21"/>
      <c r="E116" s="125"/>
      <c r="F116" s="12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s="22" customFormat="1" ht="15" customHeight="1">
      <c r="A117" s="21"/>
      <c r="B117" s="21"/>
      <c r="C117" s="21"/>
      <c r="D117" s="121"/>
      <c r="E117" s="121"/>
      <c r="F117" s="121"/>
      <c r="G117" s="121"/>
      <c r="H117" s="1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s="22" customFormat="1" ht="15" customHeight="1">
      <c r="A118" s="21"/>
      <c r="B118" s="21"/>
      <c r="C118" s="21"/>
      <c r="D118" s="122"/>
      <c r="E118" s="122"/>
      <c r="F118" s="122"/>
      <c r="G118" s="122"/>
      <c r="H118" s="122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s="22" customFormat="1" ht="15" customHeight="1">
      <c r="A119" s="21"/>
      <c r="B119" s="21"/>
      <c r="C119" s="21"/>
      <c r="D119" s="123"/>
      <c r="E119" s="123"/>
      <c r="F119" s="123"/>
      <c r="G119" s="123"/>
      <c r="H119" s="123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s="22" customFormat="1" ht="15" customHeight="1">
      <c r="A120" s="21"/>
      <c r="B120" s="21"/>
      <c r="C120" s="21"/>
      <c r="D120" s="123"/>
      <c r="E120" s="123"/>
      <c r="F120" s="123"/>
      <c r="G120" s="123"/>
      <c r="H120" s="123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22" customFormat="1" ht="15" customHeight="1">
      <c r="A121" s="21"/>
      <c r="B121" s="21"/>
      <c r="C121" s="21"/>
      <c r="D121" s="123"/>
      <c r="E121" s="123"/>
      <c r="F121" s="123"/>
      <c r="G121" s="123"/>
      <c r="H121" s="123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22" customFormat="1" ht="15" customHeight="1">
      <c r="A122" s="21"/>
      <c r="B122" s="21"/>
      <c r="C122" s="21"/>
      <c r="D122" s="123"/>
      <c r="E122" s="123"/>
      <c r="F122" s="123"/>
      <c r="G122" s="123"/>
      <c r="H122" s="123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22" customFormat="1" ht="15" customHeight="1">
      <c r="A123" s="21"/>
      <c r="B123" s="21"/>
      <c r="C123" s="21"/>
      <c r="D123" s="123"/>
      <c r="E123" s="123"/>
      <c r="F123" s="123"/>
      <c r="G123" s="123"/>
      <c r="H123" s="123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22" customFormat="1" ht="15" customHeight="1">
      <c r="A124" s="21"/>
      <c r="B124" s="21"/>
      <c r="C124" s="21"/>
      <c r="D124" s="123"/>
      <c r="E124" s="123"/>
      <c r="F124" s="123"/>
      <c r="G124" s="123"/>
      <c r="H124" s="123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25" customFormat="1" ht="15" customHeight="1">
      <c r="A125" s="26"/>
      <c r="B125" s="26"/>
      <c r="C125" s="26"/>
      <c r="D125" s="124"/>
      <c r="E125" s="124"/>
      <c r="F125" s="124"/>
      <c r="G125" s="124"/>
      <c r="H125" s="124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s="6" customFormat="1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6" customFormat="1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6" customFormat="1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="5" customFormat="1" ht="15" customHeight="1"/>
    <row r="130" s="5" customFormat="1" ht="15" customHeight="1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pans="4:5" s="2" customFormat="1" ht="12.75">
      <c r="D207" s="110" t="s">
        <v>77</v>
      </c>
      <c r="E207" s="120">
        <v>1</v>
      </c>
    </row>
    <row r="208" s="2" customFormat="1" ht="12.75">
      <c r="D208" s="91" t="s">
        <v>63</v>
      </c>
    </row>
    <row r="209" s="2" customFormat="1" ht="12.75">
      <c r="D209" s="91" t="s">
        <v>64</v>
      </c>
    </row>
    <row r="210" s="2" customFormat="1" ht="12.75">
      <c r="D210" s="92"/>
    </row>
    <row r="211" s="2" customFormat="1" ht="12.75"/>
    <row r="212" spans="4:5" s="2" customFormat="1" ht="12.75">
      <c r="D212" s="110" t="s">
        <v>69</v>
      </c>
      <c r="E212" s="120">
        <v>1</v>
      </c>
    </row>
    <row r="213" s="2" customFormat="1" ht="12.75">
      <c r="D213" s="91" t="s">
        <v>70</v>
      </c>
    </row>
    <row r="214" s="2" customFormat="1" ht="12.75">
      <c r="D214" s="91" t="s">
        <v>71</v>
      </c>
    </row>
    <row r="215" s="2" customFormat="1" ht="12.75">
      <c r="D215" s="92" t="s">
        <v>72</v>
      </c>
    </row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</sheetData>
  <sheetProtection password="C649" sheet="1" objects="1" scenarios="1"/>
  <mergeCells count="3">
    <mergeCell ref="C14:E14"/>
    <mergeCell ref="C15:E15"/>
    <mergeCell ref="C16:E1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4"/>
  <sheetViews>
    <sheetView workbookViewId="0" topLeftCell="A31">
      <selection activeCell="P2" sqref="P2"/>
    </sheetView>
  </sheetViews>
  <sheetFormatPr defaultColWidth="9.00390625" defaultRowHeight="12.75"/>
  <cols>
    <col min="1" max="1" width="1.75390625" style="0" customWidth="1"/>
    <col min="2" max="3" width="2.75390625" style="0" customWidth="1"/>
    <col min="4" max="4" width="1.37890625" style="0" customWidth="1"/>
    <col min="5" max="29" width="2.75390625" style="0" customWidth="1"/>
    <col min="30" max="30" width="3.125" style="0" customWidth="1"/>
    <col min="31" max="31" width="2.75390625" style="0" customWidth="1"/>
    <col min="32" max="32" width="3.25390625" style="0" customWidth="1"/>
    <col min="33" max="33" width="2.75390625" style="0" customWidth="1"/>
    <col min="34" max="34" width="2.875" style="0" customWidth="1"/>
    <col min="35" max="35" width="2.75390625" style="0" customWidth="1"/>
    <col min="36" max="36" width="2.125" style="0" customWidth="1"/>
    <col min="37" max="114" width="2.75390625" style="2" customWidth="1"/>
    <col min="115" max="147" width="2.75390625" style="0" customWidth="1"/>
  </cols>
  <sheetData>
    <row r="1" spans="1:36" ht="57" customHeight="1">
      <c r="A1" s="87" t="s">
        <v>27</v>
      </c>
      <c r="B1" s="87"/>
      <c r="C1" s="87"/>
      <c r="D1" s="112" t="s">
        <v>73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AF1" s="1"/>
      <c r="AG1" s="1"/>
      <c r="AH1" s="1"/>
      <c r="AI1" s="1"/>
      <c r="AJ1" s="1"/>
    </row>
    <row r="2" spans="1:114" s="77" customFormat="1" ht="19.5" customHeight="1" thickBot="1">
      <c r="A2" s="136"/>
      <c r="B2" s="136"/>
      <c r="C2" s="136"/>
      <c r="D2" s="13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105" t="s">
        <v>82</v>
      </c>
      <c r="AG2" s="86"/>
      <c r="AH2" s="86"/>
      <c r="AI2" s="86"/>
      <c r="AJ2" s="86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</row>
    <row r="3" spans="1:114" s="77" customFormat="1" ht="7.5" customHeight="1">
      <c r="A3" s="86"/>
      <c r="B3" s="137" t="s">
        <v>28</v>
      </c>
      <c r="C3" s="13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9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</row>
    <row r="4" spans="1:114" s="77" customFormat="1" ht="21.75" customHeight="1">
      <c r="A4" s="86"/>
      <c r="B4" s="139"/>
      <c r="C4" s="140"/>
      <c r="D4" s="80"/>
      <c r="E4" s="81" t="s">
        <v>29</v>
      </c>
      <c r="F4" s="80"/>
      <c r="G4" s="80"/>
      <c r="H4" s="80"/>
      <c r="I4" s="80"/>
      <c r="J4" s="80"/>
      <c r="K4" s="151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82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</row>
    <row r="5" spans="1:114" s="77" customFormat="1" ht="7.5" customHeight="1">
      <c r="A5" s="86"/>
      <c r="B5" s="139"/>
      <c r="C5" s="14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2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</row>
    <row r="6" spans="1:114" s="77" customFormat="1" ht="21.75" customHeight="1">
      <c r="A6" s="86"/>
      <c r="B6" s="139"/>
      <c r="C6" s="140"/>
      <c r="D6" s="80"/>
      <c r="E6" s="80" t="s">
        <v>30</v>
      </c>
      <c r="F6" s="80"/>
      <c r="G6" s="80"/>
      <c r="H6" s="154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82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</row>
    <row r="7" spans="1:114" s="77" customFormat="1" ht="7.5" customHeight="1">
      <c r="A7" s="86"/>
      <c r="B7" s="139"/>
      <c r="C7" s="14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2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</row>
    <row r="8" spans="1:114" s="77" customFormat="1" ht="21.75" customHeight="1">
      <c r="A8" s="86"/>
      <c r="B8" s="139"/>
      <c r="C8" s="140"/>
      <c r="D8" s="80"/>
      <c r="E8" s="80" t="s">
        <v>31</v>
      </c>
      <c r="F8" s="80"/>
      <c r="G8" s="80"/>
      <c r="H8" s="154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80"/>
      <c r="U8" s="80"/>
      <c r="V8" s="80" t="s">
        <v>23</v>
      </c>
      <c r="W8" s="80"/>
      <c r="X8" s="154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82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</row>
    <row r="9" spans="1:114" s="77" customFormat="1" ht="7.5" customHeight="1">
      <c r="A9" s="86"/>
      <c r="B9" s="139"/>
      <c r="C9" s="14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2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</row>
    <row r="10" spans="1:114" s="77" customFormat="1" ht="21.75" customHeight="1">
      <c r="A10" s="86"/>
      <c r="B10" s="139"/>
      <c r="C10" s="140"/>
      <c r="D10" s="80"/>
      <c r="E10" s="80" t="s">
        <v>32</v>
      </c>
      <c r="F10" s="80"/>
      <c r="G10" s="80"/>
      <c r="H10" s="15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6"/>
      <c r="T10" s="80"/>
      <c r="U10" s="80"/>
      <c r="V10" s="80" t="s">
        <v>33</v>
      </c>
      <c r="W10" s="80"/>
      <c r="X10" s="154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82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</row>
    <row r="11" spans="1:114" s="77" customFormat="1" ht="7.5" customHeight="1">
      <c r="A11" s="86"/>
      <c r="B11" s="139"/>
      <c r="C11" s="14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2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</row>
    <row r="12" spans="1:114" s="77" customFormat="1" ht="21.75" customHeight="1">
      <c r="A12" s="86"/>
      <c r="B12" s="139"/>
      <c r="C12" s="140"/>
      <c r="D12" s="80"/>
      <c r="E12" s="80" t="s">
        <v>34</v>
      </c>
      <c r="F12" s="80"/>
      <c r="G12" s="80"/>
      <c r="H12" s="80"/>
      <c r="I12" s="80"/>
      <c r="J12" s="80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6"/>
      <c r="X12" s="80"/>
      <c r="Y12" s="80" t="s">
        <v>25</v>
      </c>
      <c r="Z12" s="80"/>
      <c r="AA12" s="154"/>
      <c r="AB12" s="155"/>
      <c r="AC12" s="155"/>
      <c r="AD12" s="155"/>
      <c r="AE12" s="155"/>
      <c r="AF12" s="155"/>
      <c r="AG12" s="155"/>
      <c r="AH12" s="155"/>
      <c r="AI12" s="156"/>
      <c r="AJ12" s="82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</row>
    <row r="13" spans="1:114" s="77" customFormat="1" ht="7.5" customHeight="1">
      <c r="A13" s="86"/>
      <c r="B13" s="141"/>
      <c r="C13" s="142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2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</row>
    <row r="14" spans="1:114" s="77" customFormat="1" ht="21.75" customHeight="1">
      <c r="A14" s="86"/>
      <c r="B14" s="141"/>
      <c r="C14" s="142"/>
      <c r="D14" s="80"/>
      <c r="E14" s="80" t="s">
        <v>35</v>
      </c>
      <c r="F14" s="80"/>
      <c r="G14" s="80"/>
      <c r="H14" s="154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6"/>
      <c r="X14" s="80"/>
      <c r="Y14" s="80" t="s">
        <v>24</v>
      </c>
      <c r="Z14" s="80"/>
      <c r="AA14" s="154"/>
      <c r="AB14" s="155"/>
      <c r="AC14" s="155"/>
      <c r="AD14" s="155"/>
      <c r="AE14" s="155"/>
      <c r="AF14" s="155"/>
      <c r="AG14" s="155"/>
      <c r="AH14" s="155"/>
      <c r="AI14" s="156"/>
      <c r="AJ14" s="82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</row>
    <row r="15" spans="1:114" s="77" customFormat="1" ht="7.5" customHeight="1" thickBot="1">
      <c r="A15" s="86"/>
      <c r="B15" s="143"/>
      <c r="C15" s="144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4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</row>
    <row r="16" spans="1:114" s="77" customFormat="1" ht="13.5" customHeight="1" thickBo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</row>
    <row r="17" spans="1:114" s="77" customFormat="1" ht="7.5" customHeight="1">
      <c r="A17" s="86"/>
      <c r="B17" s="145" t="s">
        <v>49</v>
      </c>
      <c r="C17" s="146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</row>
    <row r="18" spans="1:114" s="77" customFormat="1" ht="21.75" customHeight="1">
      <c r="A18" s="86"/>
      <c r="B18" s="147"/>
      <c r="C18" s="148"/>
      <c r="D18" s="80"/>
      <c r="E18" s="85" t="s">
        <v>36</v>
      </c>
      <c r="F18" s="80"/>
      <c r="G18" s="80"/>
      <c r="H18" s="80"/>
      <c r="I18" s="80"/>
      <c r="J18" s="80"/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  <c r="AJ18" s="82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</row>
    <row r="19" spans="1:114" s="77" customFormat="1" ht="7.5" customHeight="1">
      <c r="A19" s="86"/>
      <c r="B19" s="147"/>
      <c r="C19" s="148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2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</row>
    <row r="20" spans="1:114" s="77" customFormat="1" ht="21.75" customHeight="1">
      <c r="A20" s="86"/>
      <c r="B20" s="147"/>
      <c r="C20" s="148"/>
      <c r="D20" s="80"/>
      <c r="E20" s="80" t="s">
        <v>37</v>
      </c>
      <c r="F20" s="80"/>
      <c r="G20" s="80"/>
      <c r="H20" s="80"/>
      <c r="I20" s="80"/>
      <c r="J20" s="80"/>
      <c r="K20" s="80"/>
      <c r="L20" s="80"/>
      <c r="M20" s="162"/>
      <c r="N20" s="163"/>
      <c r="O20" s="163"/>
      <c r="P20" s="163"/>
      <c r="Q20" s="163"/>
      <c r="R20" s="163"/>
      <c r="S20" s="163"/>
      <c r="T20" s="163"/>
      <c r="U20" s="163"/>
      <c r="V20" s="163"/>
      <c r="W20" s="164"/>
      <c r="X20" s="80"/>
      <c r="Y20" s="80" t="s">
        <v>38</v>
      </c>
      <c r="Z20" s="80"/>
      <c r="AA20" s="126"/>
      <c r="AB20" s="80"/>
      <c r="AC20" s="80"/>
      <c r="AD20" s="80" t="s">
        <v>39</v>
      </c>
      <c r="AE20" s="80"/>
      <c r="AF20" s="80"/>
      <c r="AG20" s="126"/>
      <c r="AH20" s="80"/>
      <c r="AI20" s="80"/>
      <c r="AJ20" s="82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</row>
    <row r="21" spans="1:114" s="77" customFormat="1" ht="7.5" customHeight="1">
      <c r="A21" s="86"/>
      <c r="B21" s="147"/>
      <c r="C21" s="148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2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</row>
    <row r="22" spans="1:114" s="77" customFormat="1" ht="21.75" customHeight="1">
      <c r="A22" s="86"/>
      <c r="B22" s="147"/>
      <c r="C22" s="148"/>
      <c r="D22" s="80"/>
      <c r="E22" s="80" t="s">
        <v>40</v>
      </c>
      <c r="F22" s="80"/>
      <c r="G22" s="80"/>
      <c r="H22" s="80"/>
      <c r="I22" s="80"/>
      <c r="J22" s="80"/>
      <c r="K22" s="165"/>
      <c r="L22" s="166"/>
      <c r="M22" s="166"/>
      <c r="N22" s="166"/>
      <c r="O22" s="166"/>
      <c r="P22" s="166"/>
      <c r="Q22" s="166"/>
      <c r="R22" s="166"/>
      <c r="S22" s="167"/>
      <c r="T22" s="80"/>
      <c r="U22" s="80" t="s">
        <v>43</v>
      </c>
      <c r="V22" s="80"/>
      <c r="W22" s="80"/>
      <c r="X22" s="80"/>
      <c r="Y22" s="80"/>
      <c r="Z22" s="80"/>
      <c r="AA22" s="80"/>
      <c r="AB22" s="126"/>
      <c r="AC22" s="80"/>
      <c r="AD22" s="80" t="s">
        <v>44</v>
      </c>
      <c r="AE22" s="80"/>
      <c r="AF22" s="80"/>
      <c r="AG22" s="80"/>
      <c r="AH22" s="80"/>
      <c r="AI22" s="126"/>
      <c r="AJ22" s="82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</row>
    <row r="23" spans="1:114" s="77" customFormat="1" ht="7.5" customHeight="1">
      <c r="A23" s="86"/>
      <c r="B23" s="147"/>
      <c r="C23" s="148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2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</row>
    <row r="24" spans="1:114" s="77" customFormat="1" ht="21.75" customHeight="1">
      <c r="A24" s="86"/>
      <c r="B24" s="147"/>
      <c r="C24" s="148"/>
      <c r="D24" s="80"/>
      <c r="E24" s="80" t="s">
        <v>41</v>
      </c>
      <c r="F24" s="80"/>
      <c r="G24" s="80"/>
      <c r="H24" s="80"/>
      <c r="I24" s="80"/>
      <c r="J24" s="80"/>
      <c r="K24" s="154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82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</row>
    <row r="25" spans="1:114" s="77" customFormat="1" ht="7.5" customHeight="1">
      <c r="A25" s="86"/>
      <c r="B25" s="147"/>
      <c r="C25" s="148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2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</row>
    <row r="26" spans="1:114" s="77" customFormat="1" ht="21.75" customHeight="1">
      <c r="A26" s="86"/>
      <c r="B26" s="147"/>
      <c r="C26" s="148"/>
      <c r="D26" s="80"/>
      <c r="E26" s="80" t="s">
        <v>26</v>
      </c>
      <c r="F26" s="80"/>
      <c r="G26" s="80"/>
      <c r="H26" s="80"/>
      <c r="I26" s="80"/>
      <c r="J26" s="80"/>
      <c r="K26" s="154"/>
      <c r="L26" s="157"/>
      <c r="M26" s="157"/>
      <c r="N26" s="157"/>
      <c r="O26" s="157"/>
      <c r="P26" s="157"/>
      <c r="Q26" s="157"/>
      <c r="R26" s="157"/>
      <c r="S26" s="157"/>
      <c r="T26" s="158"/>
      <c r="U26" s="80"/>
      <c r="V26" s="80" t="s">
        <v>32</v>
      </c>
      <c r="W26" s="80"/>
      <c r="X26" s="80"/>
      <c r="Y26" s="154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82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</row>
    <row r="27" spans="1:114" s="77" customFormat="1" ht="7.5" customHeight="1">
      <c r="A27" s="86"/>
      <c r="B27" s="147"/>
      <c r="C27" s="148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2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</row>
    <row r="28" spans="1:114" s="77" customFormat="1" ht="21.75" customHeight="1">
      <c r="A28" s="86"/>
      <c r="B28" s="147"/>
      <c r="C28" s="148"/>
      <c r="D28" s="80"/>
      <c r="E28" s="80" t="s">
        <v>42</v>
      </c>
      <c r="F28" s="80"/>
      <c r="G28" s="80"/>
      <c r="H28" s="80"/>
      <c r="I28" s="80"/>
      <c r="J28" s="80"/>
      <c r="K28" s="80"/>
      <c r="L28" s="80"/>
      <c r="M28" s="80"/>
      <c r="N28" s="80"/>
      <c r="O28" s="154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8"/>
      <c r="AA28" s="80"/>
      <c r="AB28" s="80" t="s">
        <v>25</v>
      </c>
      <c r="AC28" s="80"/>
      <c r="AD28" s="154"/>
      <c r="AE28" s="157"/>
      <c r="AF28" s="157"/>
      <c r="AG28" s="157"/>
      <c r="AH28" s="157"/>
      <c r="AI28" s="158"/>
      <c r="AJ28" s="82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</row>
    <row r="29" spans="1:114" s="77" customFormat="1" ht="7.5" customHeight="1" thickBot="1">
      <c r="A29" s="86"/>
      <c r="B29" s="149"/>
      <c r="C29" s="15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</row>
    <row r="30" spans="1:114" s="77" customFormat="1" ht="13.5" customHeight="1" thickBo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</row>
    <row r="31" spans="1:114" s="77" customFormat="1" ht="9.75" customHeight="1">
      <c r="A31" s="86"/>
      <c r="B31" s="145" t="s">
        <v>50</v>
      </c>
      <c r="C31" s="146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</row>
    <row r="32" spans="1:114" s="77" customFormat="1" ht="21.75" customHeight="1">
      <c r="A32" s="86"/>
      <c r="B32" s="147"/>
      <c r="C32" s="148"/>
      <c r="D32" s="80"/>
      <c r="E32" s="80" t="s">
        <v>45</v>
      </c>
      <c r="F32" s="80"/>
      <c r="G32" s="80"/>
      <c r="H32" s="80"/>
      <c r="I32" s="80"/>
      <c r="J32" s="80"/>
      <c r="K32" s="80"/>
      <c r="L32" s="80"/>
      <c r="M32" s="80"/>
      <c r="N32" s="165"/>
      <c r="O32" s="166"/>
      <c r="P32" s="166"/>
      <c r="Q32" s="166"/>
      <c r="R32" s="167"/>
      <c r="S32" s="80"/>
      <c r="T32" s="80"/>
      <c r="U32" s="80" t="s">
        <v>46</v>
      </c>
      <c r="V32" s="80"/>
      <c r="W32" s="80"/>
      <c r="X32" s="80"/>
      <c r="Y32" s="80"/>
      <c r="Z32" s="80"/>
      <c r="AA32" s="80"/>
      <c r="AB32" s="80"/>
      <c r="AC32" s="80"/>
      <c r="AD32" s="80"/>
      <c r="AE32" s="165"/>
      <c r="AF32" s="166"/>
      <c r="AG32" s="166"/>
      <c r="AH32" s="166"/>
      <c r="AI32" s="167"/>
      <c r="AJ32" s="82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</row>
    <row r="33" spans="1:114" s="77" customFormat="1" ht="7.5" customHeight="1">
      <c r="A33" s="86"/>
      <c r="B33" s="147"/>
      <c r="C33" s="148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2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</row>
    <row r="34" spans="1:114" s="77" customFormat="1" ht="21.75" customHeight="1">
      <c r="A34" s="86"/>
      <c r="B34" s="147"/>
      <c r="C34" s="148"/>
      <c r="D34" s="80"/>
      <c r="E34" s="80" t="s">
        <v>47</v>
      </c>
      <c r="F34" s="80"/>
      <c r="G34" s="80"/>
      <c r="H34" s="80"/>
      <c r="I34" s="80" t="s">
        <v>74</v>
      </c>
      <c r="J34" s="80"/>
      <c r="K34" s="80"/>
      <c r="L34" s="80"/>
      <c r="M34" s="80"/>
      <c r="N34" s="80"/>
      <c r="O34" s="80"/>
      <c r="P34" s="80"/>
      <c r="Q34" s="80"/>
      <c r="R34" s="80"/>
      <c r="S34" s="126"/>
      <c r="T34" s="80"/>
      <c r="U34" s="80" t="s">
        <v>48</v>
      </c>
      <c r="V34" s="80"/>
      <c r="W34" s="80"/>
      <c r="X34" s="80"/>
      <c r="Y34" s="80"/>
      <c r="Z34" s="80"/>
      <c r="AA34" s="80"/>
      <c r="AB34" s="80"/>
      <c r="AC34" s="80"/>
      <c r="AD34" s="126"/>
      <c r="AE34" s="80"/>
      <c r="AF34" s="80"/>
      <c r="AG34" s="80"/>
      <c r="AH34" s="80"/>
      <c r="AI34" s="80"/>
      <c r="AJ34" s="82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</row>
    <row r="35" spans="1:114" s="77" customFormat="1" ht="9" customHeight="1" thickBot="1">
      <c r="A35" s="86"/>
      <c r="B35" s="149"/>
      <c r="C35" s="150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</row>
    <row r="36" spans="1:114" s="77" customFormat="1" ht="13.5" customHeight="1" thickBo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</row>
    <row r="37" spans="1:114" s="77" customFormat="1" ht="7.5" customHeight="1">
      <c r="A37" s="86"/>
      <c r="B37" s="145" t="s">
        <v>51</v>
      </c>
      <c r="C37" s="146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</row>
    <row r="38" spans="1:114" s="76" customFormat="1" ht="12.75" customHeight="1">
      <c r="A38" s="102"/>
      <c r="B38" s="147"/>
      <c r="C38" s="148"/>
      <c r="D38" s="80"/>
      <c r="E38" s="85" t="s">
        <v>53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02"/>
      <c r="V38" s="85" t="s">
        <v>62</v>
      </c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2"/>
      <c r="AK38" s="103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</row>
    <row r="39" spans="1:114" s="76" customFormat="1" ht="12" customHeight="1">
      <c r="A39" s="102"/>
      <c r="B39" s="147"/>
      <c r="C39" s="148"/>
      <c r="D39" s="88"/>
      <c r="E39" s="88"/>
      <c r="F39" s="88" t="s">
        <v>54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102"/>
      <c r="V39" s="88"/>
      <c r="W39" s="88" t="s">
        <v>54</v>
      </c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</row>
    <row r="40" spans="1:114" s="76" customFormat="1" ht="12" customHeight="1">
      <c r="A40" s="102"/>
      <c r="B40" s="147"/>
      <c r="C40" s="148"/>
      <c r="D40" s="88"/>
      <c r="E40" s="88"/>
      <c r="F40" s="88" t="s">
        <v>55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102"/>
      <c r="V40" s="88"/>
      <c r="W40" s="88" t="s">
        <v>60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</row>
    <row r="41" spans="1:114" s="76" customFormat="1" ht="12" customHeight="1">
      <c r="A41" s="102"/>
      <c r="B41" s="147"/>
      <c r="C41" s="148"/>
      <c r="D41" s="88"/>
      <c r="E41" s="88"/>
      <c r="F41" s="88" t="s">
        <v>56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102"/>
      <c r="V41" s="88"/>
      <c r="W41" s="88" t="s">
        <v>56</v>
      </c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</row>
    <row r="42" spans="1:114" s="76" customFormat="1" ht="12" customHeight="1">
      <c r="A42" s="102"/>
      <c r="B42" s="147"/>
      <c r="C42" s="148"/>
      <c r="D42" s="88"/>
      <c r="E42" s="88"/>
      <c r="F42" s="88" t="s">
        <v>57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102"/>
      <c r="V42" s="88"/>
      <c r="W42" s="88" t="s">
        <v>59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</row>
    <row r="43" spans="1:114" s="76" customFormat="1" ht="12" customHeight="1">
      <c r="A43" s="102"/>
      <c r="B43" s="147"/>
      <c r="C43" s="148"/>
      <c r="D43" s="88"/>
      <c r="E43" s="88"/>
      <c r="F43" s="88" t="s">
        <v>58</v>
      </c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102"/>
      <c r="V43" s="88"/>
      <c r="W43" s="88" t="s">
        <v>61</v>
      </c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</row>
    <row r="44" spans="1:114" s="76" customFormat="1" ht="12" customHeight="1">
      <c r="A44" s="102"/>
      <c r="B44" s="147"/>
      <c r="C44" s="148"/>
      <c r="D44" s="88"/>
      <c r="E44" s="88"/>
      <c r="F44" s="88" t="s">
        <v>59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</row>
    <row r="45" spans="1:114" s="76" customFormat="1" ht="7.5" customHeight="1" thickBot="1">
      <c r="A45" s="102"/>
      <c r="B45" s="149"/>
      <c r="C45" s="15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103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</row>
    <row r="46" spans="1:114" s="76" customFormat="1" ht="13.5" customHeight="1" thickBot="1">
      <c r="A46" s="102"/>
      <c r="B46" s="102"/>
      <c r="C46" s="102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103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</row>
    <row r="47" spans="1:114" s="77" customFormat="1" ht="7.5" customHeight="1">
      <c r="A47" s="86"/>
      <c r="B47" s="145" t="s">
        <v>52</v>
      </c>
      <c r="C47" s="146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</row>
    <row r="48" spans="1:114" s="76" customFormat="1" ht="15.75" customHeight="1">
      <c r="A48" s="102"/>
      <c r="B48" s="147"/>
      <c r="C48" s="148"/>
      <c r="D48" s="80"/>
      <c r="E48" s="80"/>
      <c r="F48" s="93" t="str">
        <f>kalkulace!B2</f>
        <v> pobočka Praha 2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2"/>
      <c r="AK48" s="103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</row>
    <row r="49" spans="1:114" s="76" customFormat="1" ht="15.75" customHeight="1">
      <c r="A49" s="102"/>
      <c r="B49" s="147"/>
      <c r="C49" s="148"/>
      <c r="D49" s="80"/>
      <c r="E49" s="80"/>
      <c r="F49" s="96" t="str">
        <f>kalkulace!B3</f>
        <v> Sekaninova 52, PSČ: 128 00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97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2"/>
      <c r="AK49" s="103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</row>
    <row r="50" spans="1:114" s="76" customFormat="1" ht="15.75" customHeight="1">
      <c r="A50" s="102"/>
      <c r="B50" s="147"/>
      <c r="C50" s="148"/>
      <c r="D50" s="80"/>
      <c r="E50" s="80"/>
      <c r="F50" s="96" t="str">
        <f>kalkulace!B4</f>
        <v> tel.: 224 936 262-3</v>
      </c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97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2"/>
      <c r="AK50" s="103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</row>
    <row r="51" spans="1:114" s="76" customFormat="1" ht="15.75" customHeight="1">
      <c r="A51" s="102"/>
      <c r="B51" s="147"/>
      <c r="C51" s="148"/>
      <c r="D51" s="80"/>
      <c r="E51" s="80"/>
      <c r="F51" s="98" t="str">
        <f>kalkulace!B5</f>
        <v> fax: 261 220 074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97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2"/>
      <c r="AK51" s="103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</row>
    <row r="52" spans="1:114" s="76" customFormat="1" ht="15.75" customHeight="1">
      <c r="A52" s="102"/>
      <c r="B52" s="147"/>
      <c r="C52" s="148"/>
      <c r="D52" s="80"/>
      <c r="E52" s="80"/>
      <c r="F52" s="98" t="str">
        <f>kalkulace!B6</f>
        <v> e-mail: praha@euroleasing.cz</v>
      </c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97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2"/>
      <c r="AK52" s="103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</row>
    <row r="53" spans="1:114" s="76" customFormat="1" ht="15.75" customHeight="1">
      <c r="A53" s="102"/>
      <c r="B53" s="147"/>
      <c r="C53" s="148"/>
      <c r="D53" s="80"/>
      <c r="E53" s="80"/>
      <c r="F53" s="99" t="str">
        <f>kalkulace!B7</f>
        <v> vyřizuje: Dagmar Obstová, 608 345 108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1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2"/>
      <c r="AK53" s="103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</row>
    <row r="54" spans="1:114" s="76" customFormat="1" ht="7.5" customHeight="1" thickBot="1">
      <c r="A54" s="102"/>
      <c r="B54" s="149"/>
      <c r="C54" s="150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103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</row>
    <row r="55" s="104" customFormat="1" ht="21.75" customHeight="1"/>
    <row r="56" s="104" customFormat="1" ht="21.75" customHeight="1"/>
    <row r="57" s="104" customFormat="1" ht="21.75" customHeight="1"/>
    <row r="58" s="104" customFormat="1" ht="21.75" customHeight="1"/>
    <row r="59" s="104" customFormat="1" ht="21.75" customHeight="1"/>
    <row r="60" s="104" customFormat="1" ht="21.75" customHeight="1"/>
    <row r="61" s="104" customFormat="1" ht="21.75" customHeight="1"/>
    <row r="62" s="104" customFormat="1" ht="21.75" customHeight="1"/>
    <row r="63" s="104" customFormat="1" ht="21.75" customHeight="1"/>
    <row r="64" s="104" customFormat="1" ht="21.75" customHeight="1"/>
    <row r="65" s="104" customFormat="1" ht="21.75" customHeight="1"/>
    <row r="66" s="104" customFormat="1" ht="21.75" customHeight="1"/>
    <row r="67" s="104" customFormat="1" ht="21.75" customHeight="1"/>
    <row r="68" s="104" customFormat="1" ht="21.75" customHeight="1"/>
    <row r="69" s="104" customFormat="1" ht="21.75" customHeight="1"/>
    <row r="70" s="104" customFormat="1" ht="21.75" customHeight="1"/>
    <row r="71" s="104" customFormat="1" ht="21.75" customHeight="1"/>
    <row r="72" s="104" customFormat="1" ht="21.75" customHeight="1"/>
    <row r="73" s="104" customFormat="1" ht="21.75" customHeight="1"/>
    <row r="74" s="104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</sheetData>
  <sheetProtection password="C649" sheet="1" objects="1" scenarios="1"/>
  <mergeCells count="26">
    <mergeCell ref="K22:S22"/>
    <mergeCell ref="K24:AI24"/>
    <mergeCell ref="B37:C45"/>
    <mergeCell ref="N32:R32"/>
    <mergeCell ref="AE32:AI32"/>
    <mergeCell ref="B31:C35"/>
    <mergeCell ref="AA12:AI12"/>
    <mergeCell ref="H14:W14"/>
    <mergeCell ref="AA14:AI14"/>
    <mergeCell ref="B17:C29"/>
    <mergeCell ref="K26:T26"/>
    <mergeCell ref="Y26:AI26"/>
    <mergeCell ref="O28:Z28"/>
    <mergeCell ref="AD28:AI28"/>
    <mergeCell ref="K18:AI18"/>
    <mergeCell ref="M20:W20"/>
    <mergeCell ref="A2:D2"/>
    <mergeCell ref="B3:C15"/>
    <mergeCell ref="B47:C54"/>
    <mergeCell ref="K4:AI4"/>
    <mergeCell ref="H6:AI6"/>
    <mergeCell ref="H8:S8"/>
    <mergeCell ref="X8:AI8"/>
    <mergeCell ref="H10:S10"/>
    <mergeCell ref="X10:AI10"/>
    <mergeCell ref="K12:W1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J.Dušek</dc:creator>
  <cp:keywords/>
  <dc:description/>
  <cp:lastModifiedBy>Dusek</cp:lastModifiedBy>
  <cp:lastPrinted>2007-11-02T13:23:02Z</cp:lastPrinted>
  <dcterms:created xsi:type="dcterms:W3CDTF">2003-11-27T14:57:57Z</dcterms:created>
  <dcterms:modified xsi:type="dcterms:W3CDTF">2007-11-02T13:25:26Z</dcterms:modified>
  <cp:category/>
  <cp:version/>
  <cp:contentType/>
  <cp:contentStatus/>
</cp:coreProperties>
</file>